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defaultThemeVersion="124226"/>
  <bookViews>
    <workbookView xWindow="480" yWindow="1980" windowWidth="10800" windowHeight="3645" tabRatio="955" firstSheet="16" activeTab="28"/>
  </bookViews>
  <sheets>
    <sheet name="COVER" sheetId="1" r:id="rId1"/>
    <sheet name="Table of Content" sheetId="61" r:id="rId2"/>
    <sheet name="Introduction" sheetId="58" r:id="rId3"/>
    <sheet name="Other Legislations" sheetId="59" r:id="rId4"/>
    <sheet name="Strategy" sheetId="57" r:id="rId5"/>
    <sheet name="MTOD KPI's" sheetId="29" r:id="rId6"/>
    <sheet name="MTOD PROJECTS" sheetId="27" r:id="rId7"/>
    <sheet name="BSD PROJECTS" sheetId="40" r:id="rId8"/>
    <sheet name="LED PROJECTS" sheetId="41" r:id="rId9"/>
    <sheet name="MFMV KPI" sheetId="33" r:id="rId10"/>
    <sheet name="MFMV PROJECTS" sheetId="34" r:id="rId11"/>
    <sheet name="GGPP PROJECTS" sheetId="35" r:id="rId12"/>
    <sheet name="GGPP KPI's" sheetId="28" r:id="rId13"/>
    <sheet name="ROLL OVER PROJECTS" sheetId="44" r:id="rId14"/>
    <sheet name="SDBIP summary" sheetId="60" r:id="rId15"/>
    <sheet name="Finance Report" sheetId="45" r:id="rId16"/>
    <sheet name="Capital Projects" sheetId="46" r:id="rId17"/>
    <sheet name="Expenditure" sheetId="47" r:id="rId18"/>
    <sheet name="Icome" sheetId="48" r:id="rId19"/>
    <sheet name="Salaries" sheetId="49" r:id="rId20"/>
    <sheet name="Overtime" sheetId="50" r:id="rId21"/>
    <sheet name="Cash Flow" sheetId="51" r:id="rId22"/>
    <sheet name="Bank Balances" sheetId="52" r:id="rId23"/>
    <sheet name="Debtors" sheetId="53" r:id="rId24"/>
    <sheet name="FBE" sheetId="54" r:id="rId25"/>
    <sheet name="Grants" sheetId="55" r:id="rId26"/>
    <sheet name="Audit report" sheetId="63" r:id="rId27"/>
    <sheet name="Conclusion" sheetId="56" r:id="rId28"/>
    <sheet name="Approval" sheetId="62" r:id="rId29"/>
    <sheet name="Sheet1" sheetId="64" r:id="rId30"/>
  </sheets>
  <externalReferences>
    <externalReference r:id="rId31"/>
    <externalReference r:id="rId32"/>
    <externalReference r:id="rId33"/>
    <externalReference r:id="rId34"/>
    <externalReference r:id="rId35"/>
    <externalReference r:id="rId36"/>
  </externalReferences>
  <definedNames>
    <definedName name="ADJB14" localSheetId="7">'[1]Template names'!$B$90</definedName>
    <definedName name="ADJB14" localSheetId="8">'[1]Template names'!$B$90</definedName>
    <definedName name="ADJB14">'[2]Template names'!$B$90</definedName>
    <definedName name="Date" localSheetId="7">[1]Instructions!$X$10</definedName>
    <definedName name="Date" localSheetId="8">[1]Instructions!$X$10</definedName>
    <definedName name="Date">[2]Instructions!$X$10</definedName>
    <definedName name="desc">'[3]Template names'!$B$30</definedName>
    <definedName name="Head10">'[3]Template names'!$B$16</definedName>
    <definedName name="Head11">'[3]Template names'!$B$17</definedName>
    <definedName name="Head2" localSheetId="7">'[1]Template names'!$B$5</definedName>
    <definedName name="Head2" localSheetId="8">'[1]Template names'!$B$5</definedName>
    <definedName name="Head2">'[2]Template names'!$B$5</definedName>
    <definedName name="head27">'[3]Template names'!$B$33</definedName>
    <definedName name="head27a" localSheetId="7">'[1]Template names'!$B$22</definedName>
    <definedName name="head27a" localSheetId="8">'[1]Template names'!$B$22</definedName>
    <definedName name="head27a">'[2]Template names'!$B$22</definedName>
    <definedName name="Head5A" localSheetId="7">'[1]Template names'!$B$11</definedName>
    <definedName name="Head5A" localSheetId="8">'[1]Template names'!$B$11</definedName>
    <definedName name="Head5A">'[2]Template names'!$B$11</definedName>
    <definedName name="Head7" localSheetId="7">'[1]Template names'!$B$14</definedName>
    <definedName name="Head7" localSheetId="8">'[1]Template names'!$B$14</definedName>
    <definedName name="Head7">'[2]Template names'!$B$14</definedName>
    <definedName name="Head9">'[3]Template names'!$B$15</definedName>
    <definedName name="muni">'[3]Template names'!$B$93</definedName>
    <definedName name="OLE_LINK1" localSheetId="0">COVER!$M$38</definedName>
    <definedName name="_xlnm.Print_Area" localSheetId="7">'BSD PROJECTS'!$A$1:$N$88</definedName>
    <definedName name="_xlnm.Print_Area" localSheetId="27">Conclusion!$A$1:$A$13</definedName>
    <definedName name="_xlnm.Print_Area" localSheetId="0">COVER!$A$1:$U$47</definedName>
    <definedName name="_xlnm.Print_Area" localSheetId="17">Expenditure!$A$1:$G$82</definedName>
    <definedName name="_xlnm.Print_Area" localSheetId="24">FBE!$A$1:$I$54</definedName>
    <definedName name="_xlnm.Print_Area" localSheetId="15">'Finance Report'!$A$1:$B$28</definedName>
    <definedName name="_xlnm.Print_Area" localSheetId="11">'GGPP PROJECTS'!$A$1:$N$37</definedName>
    <definedName name="_xlnm.Print_Area" localSheetId="2">Introduction!$A$1:$A$17</definedName>
    <definedName name="_xlnm.Print_Area" localSheetId="8">'LED PROJECTS'!$A$1:$N$32</definedName>
    <definedName name="_xlnm.Print_Area" localSheetId="9">'MFMV KPI'!$A$1:$M$9</definedName>
    <definedName name="_xlnm.Print_Area" localSheetId="10">'MFMV PROJECTS'!$A$1:$N$14</definedName>
    <definedName name="_xlnm.Print_Area" localSheetId="5">'MTOD KPI''s'!$A$1:$M$26</definedName>
    <definedName name="_xlnm.Print_Area" localSheetId="6">'MTOD PROJECTS'!$A$1:$N$25</definedName>
    <definedName name="_xlnm.Print_Area" localSheetId="20">Overtime!$A$1:$F$66</definedName>
    <definedName name="_xlnm.Print_Area" localSheetId="13">'ROLL OVER PROJECTS'!$A$1:$F$44</definedName>
    <definedName name="_xlnm.Print_Area" localSheetId="14">'SDBIP summary'!$A$1:$E$47</definedName>
    <definedName name="_xlnm.Print_Area" localSheetId="4">Strategy!$A$1:$B$3</definedName>
    <definedName name="_xlnm.Print_Area" localSheetId="1">'Table of Content'!$A$1:$B$18</definedName>
    <definedName name="_xlnm.Print_Titles" localSheetId="7">'BSD PROJECTS'!$1:$3</definedName>
    <definedName name="_xlnm.Print_Titles" localSheetId="12">'GGPP KPI''s'!$1:$3</definedName>
    <definedName name="_xlnm.Print_Titles" localSheetId="11">'GGPP PROJECTS'!$1:$3</definedName>
    <definedName name="_xlnm.Print_Titles" localSheetId="5">'MTOD KPI''s'!$1:$3</definedName>
    <definedName name="rr" localSheetId="7">'[1]Template names'!$B$21</definedName>
    <definedName name="rr" localSheetId="8">'[1]Template names'!$B$21</definedName>
    <definedName name="rr">'[2]Template names'!$B$21</definedName>
    <definedName name="rrrrrrr" localSheetId="7">'[1]Template names'!$B$18</definedName>
    <definedName name="rrrrrrr" localSheetId="8">'[1]Template names'!$B$18</definedName>
    <definedName name="rrrrrrr">'[2]Template names'!$B$18</definedName>
    <definedName name="SDBIP">'[1]Template names'!$B$14</definedName>
    <definedName name="TableA25" localSheetId="7">'[4]Template names'!$B$135</definedName>
    <definedName name="TableA25" localSheetId="8">'[4]Template names'!$B$135</definedName>
    <definedName name="TableA25">'[5]Template names'!$B$135</definedName>
    <definedName name="TableA28">'[3]Template names'!$B$138</definedName>
  </definedNames>
  <calcPr calcId="144525"/>
</workbook>
</file>

<file path=xl/calcChain.xml><?xml version="1.0" encoding="utf-8"?>
<calcChain xmlns="http://schemas.openxmlformats.org/spreadsheetml/2006/main">
  <c r="D26" i="55" l="1"/>
  <c r="E26" i="55" s="1"/>
  <c r="D19" i="55"/>
  <c r="C19" i="55"/>
  <c r="B19" i="55"/>
  <c r="C12" i="55"/>
  <c r="B12" i="55"/>
  <c r="E12" i="55" s="1"/>
  <c r="C5" i="55"/>
  <c r="B5" i="55"/>
  <c r="D36" i="54"/>
  <c r="B39" i="53"/>
  <c r="C37" i="53"/>
  <c r="D37" i="53" s="1"/>
  <c r="G36" i="53"/>
  <c r="G35" i="53"/>
  <c r="G34" i="53"/>
  <c r="F30" i="53"/>
  <c r="F28" i="53"/>
  <c r="E28" i="53"/>
  <c r="E30" i="53" s="1"/>
  <c r="D28" i="53"/>
  <c r="D30" i="53" s="1"/>
  <c r="C28" i="53"/>
  <c r="C30" i="53" s="1"/>
  <c r="B28" i="53"/>
  <c r="B30" i="53" s="1"/>
  <c r="G24" i="53"/>
  <c r="G20" i="53"/>
  <c r="G18" i="53"/>
  <c r="G16" i="53"/>
  <c r="E7" i="53"/>
  <c r="E4" i="53"/>
  <c r="E3" i="53"/>
  <c r="C40" i="52"/>
  <c r="B6" i="52"/>
  <c r="N32" i="51"/>
  <c r="G31" i="51"/>
  <c r="F31" i="51"/>
  <c r="D31" i="51"/>
  <c r="C31" i="51"/>
  <c r="B31" i="51"/>
  <c r="N31" i="51" s="1"/>
  <c r="M28" i="51"/>
  <c r="M33" i="51" s="1"/>
  <c r="M34" i="51" s="1"/>
  <c r="L28" i="51"/>
  <c r="L33" i="51" s="1"/>
  <c r="K28" i="51"/>
  <c r="K33" i="51" s="1"/>
  <c r="J28" i="51"/>
  <c r="J33" i="51" s="1"/>
  <c r="I28" i="51"/>
  <c r="I33" i="51" s="1"/>
  <c r="H28" i="51"/>
  <c r="H33" i="51" s="1"/>
  <c r="E28" i="51"/>
  <c r="E33" i="51" s="1"/>
  <c r="G27" i="51"/>
  <c r="F27" i="51"/>
  <c r="C27" i="51"/>
  <c r="B27" i="51"/>
  <c r="N26" i="51"/>
  <c r="N25" i="51"/>
  <c r="N24" i="51"/>
  <c r="G23" i="51"/>
  <c r="F23" i="51"/>
  <c r="D23" i="51"/>
  <c r="C23" i="51"/>
  <c r="B23" i="51"/>
  <c r="G22" i="51"/>
  <c r="G28" i="51" s="1"/>
  <c r="G33" i="51" s="1"/>
  <c r="F22" i="51"/>
  <c r="D22" i="51"/>
  <c r="D28" i="51" s="1"/>
  <c r="D33" i="51" s="1"/>
  <c r="C22" i="51"/>
  <c r="B22" i="51"/>
  <c r="B28" i="51" s="1"/>
  <c r="B33" i="51" s="1"/>
  <c r="M19" i="51"/>
  <c r="L19" i="51"/>
  <c r="K19" i="51"/>
  <c r="K34" i="51" s="1"/>
  <c r="J19" i="51"/>
  <c r="I19" i="51"/>
  <c r="H19" i="51"/>
  <c r="E19" i="51"/>
  <c r="E34" i="51" s="1"/>
  <c r="G14" i="51"/>
  <c r="G19" i="51" s="1"/>
  <c r="E14" i="51"/>
  <c r="D14" i="51"/>
  <c r="D19" i="51" s="1"/>
  <c r="G13" i="51"/>
  <c r="F13" i="51"/>
  <c r="F14" i="51" s="1"/>
  <c r="F19" i="51" s="1"/>
  <c r="D13" i="51"/>
  <c r="C13" i="51"/>
  <c r="B13" i="51"/>
  <c r="C12" i="51"/>
  <c r="B12" i="51"/>
  <c r="N11" i="51"/>
  <c r="N10" i="51"/>
  <c r="N9" i="51"/>
  <c r="N8" i="51"/>
  <c r="N7" i="51"/>
  <c r="N6" i="51"/>
  <c r="N5" i="51"/>
  <c r="N4" i="51"/>
  <c r="N3" i="51"/>
  <c r="E62" i="50"/>
  <c r="D62" i="50"/>
  <c r="F58" i="50"/>
  <c r="F55" i="50"/>
  <c r="F52" i="50"/>
  <c r="F49" i="50"/>
  <c r="F47" i="50"/>
  <c r="F44" i="50"/>
  <c r="F40" i="50"/>
  <c r="F38" i="50"/>
  <c r="F36" i="50"/>
  <c r="F34" i="50"/>
  <c r="F30" i="50"/>
  <c r="F27" i="50"/>
  <c r="F20" i="50"/>
  <c r="F17" i="50"/>
  <c r="F14" i="50"/>
  <c r="F11" i="50"/>
  <c r="F5" i="50"/>
  <c r="D28" i="49"/>
  <c r="C28" i="49"/>
  <c r="E28" i="49" s="1"/>
  <c r="B21" i="49"/>
  <c r="D18" i="49"/>
  <c r="C18" i="49"/>
  <c r="E18" i="49" s="1"/>
  <c r="D17" i="49"/>
  <c r="C17" i="49"/>
  <c r="E17" i="49" s="1"/>
  <c r="D16" i="49"/>
  <c r="C16" i="49"/>
  <c r="E16" i="49" s="1"/>
  <c r="D15" i="49"/>
  <c r="C15" i="49"/>
  <c r="E15" i="49" s="1"/>
  <c r="D14" i="49"/>
  <c r="C14" i="49"/>
  <c r="E14" i="49" s="1"/>
  <c r="D13" i="49"/>
  <c r="C13" i="49"/>
  <c r="E13" i="49" s="1"/>
  <c r="D12" i="49"/>
  <c r="C12" i="49"/>
  <c r="E12" i="49" s="1"/>
  <c r="D11" i="49"/>
  <c r="C11" i="49"/>
  <c r="E11" i="49" s="1"/>
  <c r="D10" i="49"/>
  <c r="C10" i="49"/>
  <c r="E10" i="49" s="1"/>
  <c r="D9" i="49"/>
  <c r="C9" i="49"/>
  <c r="E9" i="49" s="1"/>
  <c r="D8" i="49"/>
  <c r="C8" i="49"/>
  <c r="D7" i="49"/>
  <c r="C7" i="49"/>
  <c r="E7" i="49" s="1"/>
  <c r="B46" i="48"/>
  <c r="B48" i="48" s="1"/>
  <c r="B45" i="48"/>
  <c r="B50" i="48" s="1"/>
  <c r="B44" i="48"/>
  <c r="B37" i="48"/>
  <c r="B38" i="48" s="1"/>
  <c r="B36" i="48"/>
  <c r="B35" i="48"/>
  <c r="C30" i="48"/>
  <c r="D30" i="48" s="1"/>
  <c r="D29" i="48"/>
  <c r="B19" i="48"/>
  <c r="D18" i="48"/>
  <c r="E18" i="48" s="1"/>
  <c r="E17" i="48"/>
  <c r="E16" i="48"/>
  <c r="E15" i="48"/>
  <c r="D14" i="48"/>
  <c r="E14" i="48" s="1"/>
  <c r="E13" i="48"/>
  <c r="E12" i="48"/>
  <c r="E11" i="48"/>
  <c r="D10" i="48"/>
  <c r="C10" i="48"/>
  <c r="E10" i="48" s="1"/>
  <c r="D9" i="48"/>
  <c r="C9" i="48"/>
  <c r="E8" i="48"/>
  <c r="D8" i="48"/>
  <c r="D7" i="48"/>
  <c r="C7" i="48"/>
  <c r="E7" i="48" s="1"/>
  <c r="E67" i="47"/>
  <c r="C75" i="47" s="1"/>
  <c r="D67" i="47"/>
  <c r="B75" i="47" s="1"/>
  <c r="B79" i="47" s="1"/>
  <c r="F63" i="47"/>
  <c r="F58" i="47"/>
  <c r="F55" i="47"/>
  <c r="F52" i="47"/>
  <c r="F50" i="47"/>
  <c r="F48" i="47"/>
  <c r="F46" i="47"/>
  <c r="F42" i="47"/>
  <c r="F40" i="47"/>
  <c r="F38" i="47"/>
  <c r="F35" i="47"/>
  <c r="F32" i="47"/>
  <c r="F29" i="47"/>
  <c r="F26" i="47"/>
  <c r="F24" i="47"/>
  <c r="F21" i="47"/>
  <c r="F19" i="47"/>
  <c r="F16" i="47"/>
  <c r="F12" i="47"/>
  <c r="F10" i="47"/>
  <c r="F8" i="47"/>
  <c r="F6" i="47"/>
  <c r="B7" i="46"/>
  <c r="B16" i="46"/>
  <c r="B23" i="46"/>
  <c r="B30" i="46"/>
  <c r="B38" i="46"/>
  <c r="B55" i="46"/>
  <c r="B60" i="46"/>
  <c r="B83" i="46"/>
  <c r="B91" i="46"/>
  <c r="D93" i="46"/>
  <c r="B97" i="46"/>
  <c r="B115" i="46"/>
  <c r="B136" i="46"/>
  <c r="D137" i="46"/>
  <c r="D141" i="46"/>
  <c r="B144" i="46"/>
  <c r="D149" i="46"/>
  <c r="B153" i="46"/>
  <c r="D154" i="46"/>
  <c r="D162" i="46"/>
  <c r="D163" i="46"/>
  <c r="D166" i="46"/>
  <c r="D169" i="46"/>
  <c r="D176" i="46"/>
  <c r="D191" i="46"/>
  <c r="B194" i="46"/>
  <c r="B201" i="46"/>
  <c r="D203" i="46"/>
  <c r="C208" i="46"/>
  <c r="B211" i="46"/>
  <c r="C214" i="46"/>
  <c r="D214" i="46"/>
  <c r="C217" i="46"/>
  <c r="D217" i="46"/>
  <c r="D222" i="46"/>
  <c r="C223" i="46"/>
  <c r="D223" i="46"/>
  <c r="D228" i="46"/>
  <c r="D231" i="46"/>
  <c r="E44" i="44"/>
  <c r="E43" i="44"/>
  <c r="E42" i="44"/>
  <c r="E41" i="44"/>
  <c r="E40" i="44"/>
  <c r="E39" i="44"/>
  <c r="E38" i="44"/>
  <c r="E37" i="44"/>
  <c r="E36" i="44"/>
  <c r="D35" i="44"/>
  <c r="E35" i="44" s="1"/>
  <c r="D34" i="44"/>
  <c r="E34" i="44" s="1"/>
  <c r="E33" i="44"/>
  <c r="E28" i="44"/>
  <c r="E27" i="44"/>
  <c r="E26" i="44"/>
  <c r="E25" i="44"/>
  <c r="D24" i="44"/>
  <c r="E24" i="44" s="1"/>
  <c r="E23" i="44"/>
  <c r="E22" i="44"/>
  <c r="E21" i="44"/>
  <c r="E20" i="44"/>
  <c r="E19" i="44"/>
  <c r="C18" i="44"/>
  <c r="E18" i="44" s="1"/>
  <c r="C17" i="44"/>
  <c r="E17" i="44" s="1"/>
  <c r="C16" i="44"/>
  <c r="E16" i="44" s="1"/>
  <c r="C15" i="44"/>
  <c r="E15" i="44" s="1"/>
  <c r="E14" i="44"/>
  <c r="C13" i="44"/>
  <c r="E13" i="44" s="1"/>
  <c r="C12" i="44"/>
  <c r="E12" i="44" s="1"/>
  <c r="E11" i="44"/>
  <c r="E10" i="44"/>
  <c r="E9" i="44"/>
  <c r="C8" i="44"/>
  <c r="E8" i="44" s="1"/>
  <c r="E7" i="44"/>
  <c r="C6" i="44"/>
  <c r="E6" i="44" s="1"/>
  <c r="C5" i="44"/>
  <c r="E5" i="44" s="1"/>
  <c r="C4" i="44"/>
  <c r="E4" i="44" s="1"/>
  <c r="E3" i="44"/>
  <c r="E19" i="55" l="1"/>
  <c r="E5" i="53"/>
  <c r="C211" i="46"/>
  <c r="C244" i="46" s="1"/>
  <c r="B208" i="46"/>
  <c r="B244" i="46" s="1"/>
  <c r="B39" i="48"/>
  <c r="B49" i="48"/>
  <c r="C21" i="49"/>
  <c r="E21" i="49" s="1"/>
  <c r="F62" i="50"/>
  <c r="N13" i="51"/>
  <c r="C28" i="51"/>
  <c r="C33" i="51" s="1"/>
  <c r="N23" i="51"/>
  <c r="N27" i="51"/>
  <c r="D208" i="46"/>
  <c r="D244" i="46" s="1"/>
  <c r="C14" i="51"/>
  <c r="C19" i="51" s="1"/>
  <c r="D34" i="51"/>
  <c r="H34" i="51"/>
  <c r="C19" i="48"/>
  <c r="C21" i="48" s="1"/>
  <c r="D21" i="49"/>
  <c r="E8" i="49"/>
  <c r="N12" i="51"/>
  <c r="N14" i="51" s="1"/>
  <c r="N19" i="51" s="1"/>
  <c r="F28" i="51"/>
  <c r="F33" i="51" s="1"/>
  <c r="D211" i="46"/>
  <c r="D19" i="48"/>
  <c r="F34" i="51"/>
  <c r="G34" i="51"/>
  <c r="J34" i="51"/>
  <c r="L34" i="51"/>
  <c r="G30" i="53"/>
  <c r="E37" i="53"/>
  <c r="D39" i="53"/>
  <c r="G28" i="53"/>
  <c r="C39" i="53"/>
  <c r="N33" i="51"/>
  <c r="C34" i="51"/>
  <c r="I34" i="51"/>
  <c r="B14" i="51"/>
  <c r="B19" i="51" s="1"/>
  <c r="B34" i="51" s="1"/>
  <c r="N34" i="51" s="1"/>
  <c r="N22" i="51"/>
  <c r="D21" i="48"/>
  <c r="E19" i="48"/>
  <c r="E9" i="48"/>
  <c r="D75" i="47"/>
  <c r="F67" i="47"/>
  <c r="E208" i="46"/>
  <c r="E244" i="46" l="1"/>
  <c r="E211" i="46"/>
  <c r="D5" i="55"/>
  <c r="E5" i="55" s="1"/>
  <c r="N28" i="51"/>
  <c r="C71" i="47"/>
  <c r="E39" i="53"/>
  <c r="F37" i="53"/>
  <c r="D71" i="47" l="1"/>
  <c r="C79" i="47"/>
  <c r="D79" i="47" s="1"/>
  <c r="F39" i="53"/>
  <c r="G39" i="53" s="1"/>
  <c r="G37" i="53"/>
  <c r="F25" i="27" l="1"/>
  <c r="F15" i="40"/>
</calcChain>
</file>

<file path=xl/comments1.xml><?xml version="1.0" encoding="utf-8"?>
<comments xmlns="http://schemas.openxmlformats.org/spreadsheetml/2006/main">
  <authors>
    <author>Nomsa Makhubela</author>
  </authors>
  <commentList>
    <comment ref="F15" authorId="0">
      <text>
        <r>
          <rPr>
            <b/>
            <sz val="9"/>
            <color indexed="81"/>
            <rFont val="Tahoma"/>
            <family val="2"/>
          </rPr>
          <t>Nomsa Makhubela:</t>
        </r>
        <r>
          <rPr>
            <sz val="9"/>
            <color indexed="81"/>
            <rFont val="Tahoma"/>
            <family val="2"/>
          </rPr>
          <t xml:space="preserve">
</t>
        </r>
      </text>
    </comment>
    <comment ref="E16" authorId="0">
      <text>
        <r>
          <rPr>
            <b/>
            <sz val="9"/>
            <color indexed="81"/>
            <rFont val="Tahoma"/>
            <family val="2"/>
          </rPr>
          <t>Nomsa Makhubela:</t>
        </r>
        <r>
          <rPr>
            <sz val="9"/>
            <color indexed="81"/>
            <rFont val="Tahoma"/>
            <family val="2"/>
          </rPr>
          <t xml:space="preserve">
individuals
</t>
        </r>
      </text>
    </comment>
  </commentList>
</comments>
</file>

<file path=xl/sharedStrings.xml><?xml version="1.0" encoding="utf-8"?>
<sst xmlns="http://schemas.openxmlformats.org/spreadsheetml/2006/main" count="3456" uniqueCount="1442">
  <si>
    <t>Strategic Objective</t>
  </si>
  <si>
    <t>n/a</t>
  </si>
  <si>
    <t>Vote Nr</t>
  </si>
  <si>
    <t>Project / Initiative</t>
  </si>
  <si>
    <t>Start Date</t>
  </si>
  <si>
    <t>Completion Date</t>
  </si>
  <si>
    <t>MM</t>
  </si>
  <si>
    <t>TOTAL</t>
  </si>
  <si>
    <t>Measurable Objectives</t>
  </si>
  <si>
    <t>Baseline / Status</t>
  </si>
  <si>
    <t>Responsible Person</t>
  </si>
  <si>
    <t xml:space="preserve">Operational </t>
  </si>
  <si>
    <t> n/a</t>
  </si>
  <si>
    <t>Operational</t>
  </si>
  <si>
    <t>INDEP</t>
  </si>
  <si>
    <t>%  capital budget spent as approved by Council</t>
  </si>
  <si>
    <t>% MSIG expenditure</t>
  </si>
  <si>
    <t>CORPS</t>
  </si>
  <si>
    <t>Improved Human Resource</t>
  </si>
  <si>
    <t>% employees trained as per the WSP</t>
  </si>
  <si>
    <t>To ensure a health and safe working environment</t>
  </si>
  <si>
    <t>Performance measures</t>
  </si>
  <si>
    <t>KEY PERFORMANCE INDICATORS</t>
  </si>
  <si>
    <t>Integrated Sustainable Development</t>
  </si>
  <si>
    <t>Integrated and Sustainable Human Settlement</t>
  </si>
  <si>
    <t>Improved  Governance and Organisational Excellence</t>
  </si>
  <si>
    <t>Access to Sustainable Basic Services</t>
  </si>
  <si>
    <t>COMM</t>
  </si>
  <si>
    <t>Improved Local Economy</t>
  </si>
  <si>
    <t>Sustainable Financial Institution</t>
  </si>
  <si>
    <t>Updating of Indigent Register</t>
  </si>
  <si>
    <t>Data cleansing</t>
  </si>
  <si>
    <t>MM/CORPS</t>
  </si>
  <si>
    <t xml:space="preserve">OUTPUT 1: IMPLEMENT A DIFFERENTIATED APPROACH TO  MUNICIPAL FINANCING, PLANNING AND SUPPORT, OUTPUT 4: ACTIONS SUPPORTIVE OF THE HUMAN SETTLEMENT OUTCOMES </t>
  </si>
  <si>
    <t xml:space="preserve">OUTCOME NINE (OUTPUT 1: IMPLEMENT A DIFFERENTIATED APPROACH TO  MUNICIPAL FINANCING, PLANNING AND SUPPORT, OUTPUT 4: ACTIONS SUPPORTIVE OF THE HUMAN SETTLEMENT OUTCOMES) </t>
  </si>
  <si>
    <t>Project Owner</t>
  </si>
  <si>
    <t>INDEP/CFO/MM</t>
  </si>
  <si>
    <t>Measurable Objective</t>
  </si>
  <si>
    <t>Asset Management</t>
  </si>
  <si>
    <t>Revenue Management</t>
  </si>
  <si>
    <t>Indigent Management</t>
  </si>
  <si>
    <t>Budget and Reporting</t>
  </si>
  <si>
    <t>Expenditure Management</t>
  </si>
  <si>
    <t>IDP</t>
  </si>
  <si>
    <t>SDBIP</t>
  </si>
  <si>
    <t>OPMS</t>
  </si>
  <si>
    <t>EPMS</t>
  </si>
  <si>
    <t>Local Economic Development</t>
  </si>
  <si>
    <t xml:space="preserve">Programme </t>
  </si>
  <si>
    <t>Human Resources</t>
  </si>
  <si>
    <t>Property Services</t>
  </si>
  <si>
    <t>KPA 1 MUNICIPAL TRANSFORMATION AND ORGANISATIONAL DEVELOPMENT</t>
  </si>
  <si>
    <t>KPA 1 MUNICIPAL TRANSFORMATION AND ORGANISATIONAL DEVELOPMENT
PROJECTS</t>
  </si>
  <si>
    <t xml:space="preserve">KPA 3 LOCAL ECONOMIC DEVELOPMENT 
PROJECTS
OUTPUT 3: IMPLEMENTATION OF THE COMMUNITY WORK PROGRAMME </t>
  </si>
  <si>
    <t xml:space="preserve">KPA 4 MUNICIPAL FINANCIAL VIABILITY
KEY PERFORMANCE INDICATORS
OUTPUT 6: ADMINISTRATIVE AND FINANCIAL CAPABILITY </t>
  </si>
  <si>
    <t>KPA 4 MUNICIPAL FINANCIAL VIABILITY
PROJECTS
OUTCOME NINE (OUTPUT 6: ADMINISTRATIVE AND FINANCIAL CAPABILITY)</t>
  </si>
  <si>
    <t>KPA 5 GOOD GOVERNANCE AND PUBLIC PARTICIPATION 
KEY PERFORMANCE INDICATORS
OUTCOME 9 (OUTPUT 5: DEEPEN DEMOCRACY THROUGH A REFINED WARD  COMMITTEE MODEL, OUTPUT 6: ADMINISTRATIVE AND FINANCIAL CAPABILITY)</t>
  </si>
  <si>
    <t>KPA 5 GOOD GOVERNANCE AND PUBLIC PARTICIPATION 
PROJECTS
OUTPUT 5: DEEPEN DEMOCRACY THROUGH A REFINED WARD  COMMITTEE MODEL, OUTPUT 6: ADMINISTRATIVE AND FINANCIAL CAPABILITY)</t>
  </si>
  <si>
    <t>CFO</t>
  </si>
  <si>
    <t>INDEP/MM</t>
  </si>
  <si>
    <t>Community Facilities</t>
  </si>
  <si>
    <t>Sports and Recreation</t>
  </si>
  <si>
    <t>Electricity Distribution</t>
  </si>
  <si>
    <t>Spatial Planning</t>
  </si>
  <si>
    <t>Annual Report</t>
  </si>
  <si>
    <t>% appointed service providers with Service Level Agreement (# of service providers appointed/# of service providers with service level agreement)</t>
  </si>
  <si>
    <t>CORPS/MM</t>
  </si>
  <si>
    <t>Progranmes</t>
  </si>
  <si>
    <t>Programmes</t>
  </si>
  <si>
    <t>Traditional Leaders</t>
  </si>
  <si>
    <t xml:space="preserve">Local Imbizos </t>
  </si>
  <si>
    <t>Ward Committee</t>
  </si>
  <si>
    <t>Communication</t>
  </si>
  <si>
    <t>Bursary Scheme</t>
  </si>
  <si>
    <t>Risk Management</t>
  </si>
  <si>
    <t>OHS</t>
  </si>
  <si>
    <t>Planning and Development</t>
  </si>
  <si>
    <t>Group stages competition</t>
  </si>
  <si>
    <t>Collection of information on indigent households and update the register</t>
  </si>
  <si>
    <t>Tourism Indaba</t>
  </si>
  <si>
    <t>Skills Development</t>
  </si>
  <si>
    <t>Street Lighting</t>
  </si>
  <si>
    <t>Revenue Enhancement Strategy</t>
  </si>
  <si>
    <t>Supply Chain Management</t>
  </si>
  <si>
    <t>Valuation Roll</t>
  </si>
  <si>
    <t>% FMG expenditure</t>
  </si>
  <si>
    <t>Internal Audit</t>
  </si>
  <si>
    <t>Vehicle Licencing and Test</t>
  </si>
  <si>
    <t>Furniture &amp; Equipment</t>
  </si>
  <si>
    <t>Appoint service providers and construction progress at 25%</t>
  </si>
  <si>
    <t>Appointment of service provider and procurement of goods</t>
  </si>
  <si>
    <t>Advertise for appointment of professional service provider</t>
  </si>
  <si>
    <t>Implementation of resolutions of the Tourism Indaba report</t>
  </si>
  <si>
    <t>Coordinate and conduct enviromental related events and campaigns (1 per quarter)</t>
  </si>
  <si>
    <t>Participate in the celebratory activities</t>
  </si>
  <si>
    <t>Event held for various cultural activities</t>
  </si>
  <si>
    <t>Unbundling of Infrastructure Assets to update the asset register</t>
  </si>
  <si>
    <t>Conduct assessment of supplementary valuation roll.</t>
  </si>
  <si>
    <t>MM/ All Directors</t>
  </si>
  <si>
    <t>MM / All Directors</t>
  </si>
  <si>
    <t>PMS/MM</t>
  </si>
  <si>
    <t xml:space="preserve"> Internal Audit /MM</t>
  </si>
  <si>
    <t>Risk/MM</t>
  </si>
  <si>
    <t xml:space="preserve"> CFO</t>
  </si>
  <si>
    <t>CFO/INDEP/MM</t>
  </si>
  <si>
    <t>To register qualifying  indigents 30 June 2014</t>
  </si>
  <si>
    <t>Approval by Council</t>
  </si>
  <si>
    <t>Ass-Director (Mayor's office)/MM</t>
  </si>
  <si>
    <t>Legal</t>
  </si>
  <si>
    <t>Risk</t>
  </si>
  <si>
    <t>Operation clean audit</t>
  </si>
  <si>
    <t>Risk management</t>
  </si>
  <si>
    <t>All Directors/MM</t>
  </si>
  <si>
    <t>% achievement of  milestones on IDP/Budget/PMS process plan.</t>
  </si>
  <si>
    <t>To ensure annual implementation of the performance management system in the organisation</t>
  </si>
  <si>
    <t>Improved Quality of Life</t>
  </si>
  <si>
    <t>Budget 2014/2015</t>
  </si>
  <si>
    <t>Draft IDP, budget and PMS adopted by 31 March 2015</t>
  </si>
  <si>
    <t>Adopted by 31 May 2015</t>
  </si>
  <si>
    <t>To review, drive and monitor implementation of the IDP by 31 May 2015</t>
  </si>
  <si>
    <t>To compile the Final Annual Report and submit to council by 31 January 2015</t>
  </si>
  <si>
    <t>Final Annual Report approved by council on 31 January 2015</t>
  </si>
  <si>
    <t>Information was submitted by 10 June 2015</t>
  </si>
  <si>
    <t>Risk assessment: OHS</t>
  </si>
  <si>
    <t>Health and safety awareness event</t>
  </si>
  <si>
    <t>OHS signs and posters</t>
  </si>
  <si>
    <t>Employee wellness programme</t>
  </si>
  <si>
    <t>Skills development levy</t>
  </si>
  <si>
    <t>Long service award</t>
  </si>
  <si>
    <t>Networking of the sub-offices</t>
  </si>
  <si>
    <t>Quick cut machine</t>
  </si>
  <si>
    <t>Mamphakati Taxi Rank</t>
  </si>
  <si>
    <t>Sekgosese Market stalls</t>
  </si>
  <si>
    <t>Madumeleng Market stalls</t>
  </si>
  <si>
    <t xml:space="preserve">Municipal Mayor’s excellent award </t>
  </si>
  <si>
    <t xml:space="preserve">Conference and congresses </t>
  </si>
  <si>
    <t xml:space="preserve">Capacity building: councillors </t>
  </si>
  <si>
    <t>Batho Pele strategies</t>
  </si>
  <si>
    <t>Bursary scheme council</t>
  </si>
  <si>
    <t>R2 000 000</t>
  </si>
  <si>
    <t>Humanitarian Aid</t>
  </si>
  <si>
    <t xml:space="preserve">News letter </t>
  </si>
  <si>
    <t>Calendar and diaries</t>
  </si>
  <si>
    <t>Gender desk activities</t>
  </si>
  <si>
    <t>Disability desk activities</t>
  </si>
  <si>
    <t>Youth empowerment projects</t>
  </si>
  <si>
    <t>Youth desk activities</t>
  </si>
  <si>
    <t>Rotterdam Library</t>
  </si>
  <si>
    <t>30/06/2015</t>
  </si>
  <si>
    <t>01/07/2014</t>
  </si>
  <si>
    <t>01/01/2015</t>
  </si>
  <si>
    <t>01/10/2014</t>
  </si>
  <si>
    <t>Skills Development/Training</t>
  </si>
  <si>
    <t>Batho Pele</t>
  </si>
  <si>
    <t>Humanitarian</t>
  </si>
  <si>
    <t>IT</t>
  </si>
  <si>
    <t>Advertisement of tender and appointment of service provider</t>
  </si>
  <si>
    <t>31/03/2015</t>
  </si>
  <si>
    <t>Adopted by 31 March 2015</t>
  </si>
  <si>
    <t xml:space="preserve"> % of internal audit issues resolved (# of  Internal Audit issues resolved / # of issues raised)</t>
  </si>
  <si>
    <t xml:space="preserve"> % of Risk issues resolved (#  Risk issues implemented / resolved / # of risks identified)</t>
  </si>
  <si>
    <t>CORPS &amp; CFO</t>
  </si>
  <si>
    <t>Employee wellness day</t>
  </si>
  <si>
    <t>To organise 4  Health and Safety awareness events 30 June 2015</t>
  </si>
  <si>
    <t>To organise 4  OHS risk assessment workshop by 30 June 2015</t>
  </si>
  <si>
    <t>To network all GLM sub offices by 31 March 2015</t>
  </si>
  <si>
    <t>To award long service award to eligible employees timeously according to policy</t>
  </si>
  <si>
    <t>100% of the qualifying employees</t>
  </si>
  <si>
    <t>Conduct need analysis and submit specification to SCM</t>
  </si>
  <si>
    <t>To issue 4 newsletters by 30/06/2015</t>
  </si>
  <si>
    <t>To purchase calenders and diaries by 30/09/2014</t>
  </si>
  <si>
    <t>30/09/2014</t>
  </si>
  <si>
    <t>Budget and Treasury</t>
  </si>
  <si>
    <t>GPS system and training</t>
  </si>
  <si>
    <t xml:space="preserve">Security glass at Senwamokgope sub office </t>
  </si>
  <si>
    <t>New tanks, pumps and shades</t>
  </si>
  <si>
    <t>Enhancement &amp; Beautification of Town Entrances</t>
  </si>
  <si>
    <t>Traffic Sedan</t>
  </si>
  <si>
    <t>Concrete Mixer</t>
  </si>
  <si>
    <t>INDEP / B &amp; T</t>
  </si>
  <si>
    <t>Refurbishment of Municipal Workshop and stores</t>
  </si>
  <si>
    <t>Project management and construction monitoring to achieve progress of 100%</t>
  </si>
  <si>
    <t>Rehabilitation of Rotaba Cottages</t>
  </si>
  <si>
    <t>Parking at Municipal Offices</t>
  </si>
  <si>
    <t>Design and construction of fence and admin block at the new show ground by 30 June 2015</t>
  </si>
  <si>
    <t>GLM Show Ground</t>
  </si>
  <si>
    <t xml:space="preserve">Appoint Architectures for professional services.  </t>
  </si>
  <si>
    <t>Libraries and Archives</t>
  </si>
  <si>
    <t>Shotong Library</t>
  </si>
  <si>
    <t>Community Halls &amp; Facalities</t>
  </si>
  <si>
    <t>Construction of paving and fence at Senwamokgope community hall by  31 March 2015</t>
  </si>
  <si>
    <t>Senwamokgope Comm Hall Paving and Fencing</t>
  </si>
  <si>
    <t>Planning and designing of community hall for Ward 2 by 31 March 2015</t>
  </si>
  <si>
    <t>Ward 2 Community Hall</t>
  </si>
  <si>
    <t>Planning and designing of community hall for Ward 5 by 31 March 2015</t>
  </si>
  <si>
    <t>Ward 5 Community Hall</t>
  </si>
  <si>
    <t>Matshwi Community Hall</t>
  </si>
  <si>
    <t>Planning and designing of community hall for Mohlele village by 31 March 2015</t>
  </si>
  <si>
    <t>Mohlele Community Hall</t>
  </si>
  <si>
    <t>Planning and designing of community hall for Mamaila (Kolobetona) village by 31 March 2015</t>
  </si>
  <si>
    <t>Mamaila - Kolobetona Community Hall</t>
  </si>
  <si>
    <t>Planning and designing of community hall for Shamfana village by 31 March 2015</t>
  </si>
  <si>
    <t>Shamfana Community Hall</t>
  </si>
  <si>
    <t>Mokwakwaila to Kgapane Bus shelter</t>
  </si>
  <si>
    <t>Rapitsi to Malematsa Bus Shelter</t>
  </si>
  <si>
    <t>Lemondokop to Mamaila via Phooko Bus Shelter</t>
  </si>
  <si>
    <t>Modjadji Headkraal Bus Shelter</t>
  </si>
  <si>
    <t>Design and construction of market stalls at Sekgopo by 30 June 2015</t>
  </si>
  <si>
    <t>Sekgopo Market stalls</t>
  </si>
  <si>
    <t xml:space="preserve">Appoint consultants for professional services.  </t>
  </si>
  <si>
    <t>Design and construction of market stalls at Sekgosese by 30 June 2015</t>
  </si>
  <si>
    <t>Design and construction of market stalls at Ga-Kgapane by 30 June 2015</t>
  </si>
  <si>
    <t>Kgapane Market stalls</t>
  </si>
  <si>
    <t>Design and construction of market stalls at Mamaila (Phaphadi) by 30 June 2015</t>
  </si>
  <si>
    <t>Mamaila-Phaphadi Market stalls</t>
  </si>
  <si>
    <t>Design and construction of market stalls at Madumeleng by 30 June 2015</t>
  </si>
  <si>
    <t>Design and construction of market stalls at Khosuthopa by 30 June 2015</t>
  </si>
  <si>
    <t>Khosuthopa Market stalls</t>
  </si>
  <si>
    <t>Sports &amp; Recreation</t>
  </si>
  <si>
    <t>Mamanyoha Sports Complex</t>
  </si>
  <si>
    <t>Rotterdam Sports Complex</t>
  </si>
  <si>
    <t>Sekgopo Youth Centre</t>
  </si>
  <si>
    <t>Kgapane Youth Centre</t>
  </si>
  <si>
    <t>Roerfontein Youth Centre</t>
  </si>
  <si>
    <t>Mokwakwaila Youth Centre</t>
  </si>
  <si>
    <t>Madumeleng Old Age Facility</t>
  </si>
  <si>
    <t>Kgapane Old Age Facility</t>
  </si>
  <si>
    <t>Roerfontein Old Age Facility</t>
  </si>
  <si>
    <t>Design and construction of sports ground at Ga-Kgapane by 30 June 2015</t>
  </si>
  <si>
    <t>Kgapane Sports ground</t>
  </si>
  <si>
    <t>Waste Management / Refuse removal</t>
  </si>
  <si>
    <t>Landfill Site</t>
  </si>
  <si>
    <t>Stormwater</t>
  </si>
  <si>
    <t>Construction of pedestrian bridge at Ga-Kgapane (William Kgatla) by 31 March 2015</t>
  </si>
  <si>
    <t>Pedestrian William Kgatle Bridge</t>
  </si>
  <si>
    <t>Appoint contractors. Project management and construction monitoring to achieve 25% progress</t>
  </si>
  <si>
    <t>Low Level Bridges</t>
  </si>
  <si>
    <t xml:space="preserve">Modjadjiskloof- Channels </t>
  </si>
  <si>
    <t>Roads</t>
  </si>
  <si>
    <t>2 Tonner Truck with Quarter Canopy</t>
  </si>
  <si>
    <t>Plate compactor</t>
  </si>
  <si>
    <t>Mothobeki Paving</t>
  </si>
  <si>
    <t>Appoint contractors and resume with construction up to 25%</t>
  </si>
  <si>
    <t>Mamaila Phaphadi Paving</t>
  </si>
  <si>
    <t>Upgrading of gravel to concrete paving blocks for 1.8 km at Phooko village by 31 March 2015</t>
  </si>
  <si>
    <t>Phooko Head Kraal Paving</t>
  </si>
  <si>
    <t>Raphahlelo Head Kraal Paving</t>
  </si>
  <si>
    <t>Tipper truck</t>
  </si>
  <si>
    <t>Rehabilitation of 3 km of streets in Modjadjiskloof by 31 March 2015</t>
  </si>
  <si>
    <t xml:space="preserve">Rehabilitation of Modjadjiskloof Streets </t>
  </si>
  <si>
    <t>Rehabilitation of 3 km of streets in Ga-Kgapane by 31 March 2015</t>
  </si>
  <si>
    <t>Rehabilitation of Ga-Kgapane Streets</t>
  </si>
  <si>
    <t>Modjadjiskloof Sidewalks</t>
  </si>
  <si>
    <t xml:space="preserve">Construction of access road to Mokwakwaila Taxi Rank for 600m by 31 March 2015 </t>
  </si>
  <si>
    <t xml:space="preserve">Access Road to Mokwakwaila Taxi Rank- Roll over </t>
  </si>
  <si>
    <t>Appoint contractors and resume with construction up to 10%</t>
  </si>
  <si>
    <t>Itieleng- Sekgosese Street Paving</t>
  </si>
  <si>
    <t>Refilwe Street Paving</t>
  </si>
  <si>
    <t>Mmamakata Raselaka Street Paving</t>
  </si>
  <si>
    <t>Upgrade of Electricity to NER Standards</t>
  </si>
  <si>
    <t>Tools and equipment</t>
  </si>
  <si>
    <t>Contribution from MIG</t>
  </si>
  <si>
    <t>Upgrading of gravel to concrete paving blocks for 3 km at Ga-Kgapane by 31 March 2015</t>
  </si>
  <si>
    <t>Ga-Kgapane Street Upgrading</t>
  </si>
  <si>
    <t>Upgrading of gravel to concrete paving blocks for  1.8 km at Senwamokgope by 31 March 2015</t>
  </si>
  <si>
    <t xml:space="preserve">Senwamokgope Street Upgrading </t>
  </si>
  <si>
    <t>Upgrading of gravel to concrete paving blocks for 1.2 km at Kuranta by 31 March 2015</t>
  </si>
  <si>
    <t>Upgrading of streets -Kuranta</t>
  </si>
  <si>
    <t>Upgrading of gravel to concrete paving blocks for 2 km at Mokgoba by 31 March 2015</t>
  </si>
  <si>
    <t>Upgrading of streets -Mokgoba</t>
  </si>
  <si>
    <t>Upgrading of gravel to concrete paving blocks for 2 km at Modjadji Valley by 31 March 2015</t>
  </si>
  <si>
    <t>Upgrading of streets -Modjadji Valley</t>
  </si>
  <si>
    <t>Upgrading of gravel to concrete paving blocks for 1.8 km at Ratjeke by 31 March 2015</t>
  </si>
  <si>
    <t>Ratjeke Street Paving</t>
  </si>
  <si>
    <t>Construction of library at Senwamokgope township by 31 March 2015</t>
  </si>
  <si>
    <t>Senwamokgope library</t>
  </si>
  <si>
    <t>Construction of library at Sekgopo by 31 March 2015</t>
  </si>
  <si>
    <t>Sekgopo library</t>
  </si>
  <si>
    <t>Mokwakwaila library</t>
  </si>
  <si>
    <t xml:space="preserve">Kgapane stadium </t>
  </si>
  <si>
    <t>Seatlaleng Street Paving</t>
  </si>
  <si>
    <t>Mohlakong Street paving</t>
  </si>
  <si>
    <t>Sephukhubje Street Paving</t>
  </si>
  <si>
    <t>Matshelapata Street Paving</t>
  </si>
  <si>
    <t>Shawela Street Paving</t>
  </si>
  <si>
    <t>Sekgopo Maboying Street Paving</t>
  </si>
  <si>
    <t>Tlhotlhokwe Street Paving</t>
  </si>
  <si>
    <t>Shamfana Street Paving</t>
  </si>
  <si>
    <t>Kherobeng Street Paving</t>
  </si>
  <si>
    <t>Environmental Programmes</t>
  </si>
  <si>
    <t>Rain making ceremony</t>
  </si>
  <si>
    <t>Wolkberg Sports day</t>
  </si>
  <si>
    <t>To organise and host various sport codes by 30 June 2015</t>
  </si>
  <si>
    <t>Sports Activities</t>
  </si>
  <si>
    <t>Sporting activities held</t>
  </si>
  <si>
    <t>Cultural Activities</t>
  </si>
  <si>
    <t>To do cemetry layout and fencing at Ga-Kgapane cemetry by 30 June 2015</t>
  </si>
  <si>
    <t>Dermacation of sites (Nooitedaght Farm)</t>
  </si>
  <si>
    <t>Identify and implement SMME support initiatives by 30 June 2015</t>
  </si>
  <si>
    <t>Support of SMMEs'</t>
  </si>
  <si>
    <t>Approval of support initiatives and implementation thereof</t>
  </si>
  <si>
    <t>Participate in the annual Tourism Indaba by 30 June 2015</t>
  </si>
  <si>
    <t>Promote tourism activities within GLM by 30 June 2015</t>
  </si>
  <si>
    <t>Tourism Development</t>
  </si>
  <si>
    <t>Approval of tourism development initiatives and implementation thereof</t>
  </si>
  <si>
    <t>Planning &amp; Development</t>
  </si>
  <si>
    <t xml:space="preserve">Implement Land-use Management Scheme by 30 June 2015 </t>
  </si>
  <si>
    <t>Land-use Management</t>
  </si>
  <si>
    <t>Planning for renewal of Modjadjiskloof CBD by 30 June 2015</t>
  </si>
  <si>
    <t>Modjadjiskloof Urban Renewal Plan</t>
  </si>
  <si>
    <t>Scan building plans for uploading in the GIS by 31 March 2015</t>
  </si>
  <si>
    <t>Scanning of building plans into GIS</t>
  </si>
  <si>
    <t>Implement agricultural development initiatives by 30 June 2015</t>
  </si>
  <si>
    <t>Agricultural development</t>
  </si>
  <si>
    <t>Identify business support initiatives by 30 June 2015</t>
  </si>
  <si>
    <t>Business Support</t>
  </si>
  <si>
    <t>Approval of business support initiatives and implementation thereof</t>
  </si>
  <si>
    <t>Development of Manokwe cave</t>
  </si>
  <si>
    <t>GLM Piggery Project</t>
  </si>
  <si>
    <t>Approval and implementation of support initiatives</t>
  </si>
  <si>
    <t>Agricultural Awards</t>
  </si>
  <si>
    <t>Conduct award ceremony</t>
  </si>
  <si>
    <t>Feasibility Study for Picnic Sites</t>
  </si>
  <si>
    <t>Develop entrance and fencing for Manokwe cave by 30 June 2015</t>
  </si>
  <si>
    <t>Support emerging piggery farmers within GLM by 30 June 2015</t>
  </si>
  <si>
    <t>Compile feasibility study for picnic sites in GLM by 30 June 2015</t>
  </si>
  <si>
    <t>Good Governance</t>
  </si>
  <si>
    <t>Special Programmes</t>
  </si>
  <si>
    <t>HIV &amp; AIDS Council activities</t>
  </si>
  <si>
    <t>Implementation of the adopted Revenue Enhancement Strategy</t>
  </si>
  <si>
    <t>Review, adopt and implement Revenue Enhancement Strategy 30 June 2015</t>
  </si>
  <si>
    <t>To update household billing system information 30 Sept 2014 and implement</t>
  </si>
  <si>
    <t>Appointment of professional service provider for unbundling of municipal assets and updating of GRAP compialnt asset register.</t>
  </si>
  <si>
    <t>To monitor the process of unbundling and make progress report by 30 June 2015</t>
  </si>
  <si>
    <t>Updating of valuation roll by  30 June 2015</t>
  </si>
  <si>
    <t>Appointment of service provider to supply, instal and conduct training</t>
  </si>
  <si>
    <t>To conduct environmental impact assessment, purchase new tanks, pumps and shades by 31 March 2015</t>
  </si>
  <si>
    <t>Financial information supplied to relevant authorities by 30 June 2015</t>
  </si>
  <si>
    <t>Maphalle Market stalls</t>
  </si>
  <si>
    <t>Dermacation of sites (Goudplaas)</t>
  </si>
  <si>
    <t>Conveyance of Unregistered GLM properties</t>
  </si>
  <si>
    <t>Goudplaas Bus Shelter</t>
  </si>
  <si>
    <t>TLB (Backhoe Loader)</t>
  </si>
  <si>
    <t>Modjadji Ivory -route Street Paving</t>
  </si>
  <si>
    <t>Upgrading of streets - Thakgalane</t>
  </si>
  <si>
    <t>Gabions - Sekgopo</t>
  </si>
  <si>
    <t>Shaamiriri Sport Complex</t>
  </si>
  <si>
    <t>100% Complete</t>
  </si>
  <si>
    <t>Abel Outdoor gym</t>
  </si>
  <si>
    <t>Kuranta Outdoor gym</t>
  </si>
  <si>
    <t>Sekgopo Outdoor gym</t>
  </si>
  <si>
    <t xml:space="preserve">Four (4)signs and posters </t>
  </si>
  <si>
    <t xml:space="preserve">Attending of conference and congresses </t>
  </si>
  <si>
    <t>Communication and event management</t>
  </si>
  <si>
    <t>Adrehence to procedures and attend conference and congresses</t>
  </si>
  <si>
    <t>30/03/2015</t>
  </si>
  <si>
    <t>Scanner</t>
  </si>
  <si>
    <t>Cooler box</t>
  </si>
  <si>
    <t>5x Aqua coolers</t>
  </si>
  <si>
    <t xml:space="preserve">GLM Show Ground </t>
  </si>
  <si>
    <t>Modular issue Counters (2)</t>
  </si>
  <si>
    <t xml:space="preserve">Advertise and appoint service provider for installation </t>
  </si>
  <si>
    <t>Erection of highmast lights</t>
  </si>
  <si>
    <t>Highmast Lights in 10 villages</t>
  </si>
  <si>
    <t>Abel Highmast Lights</t>
  </si>
  <si>
    <t>Malematja Highmast Lights</t>
  </si>
  <si>
    <t>Mamokgadi Highmast Lights</t>
  </si>
  <si>
    <t>Shamfana Highmast Lights</t>
  </si>
  <si>
    <t>Mapaana Highmast Lights</t>
  </si>
  <si>
    <t>Upgrading of gravel to concrete paving blocks for 2 km at Mandela park by 30 September 2014</t>
  </si>
  <si>
    <t>Upgrading of gravel to concrete paving blocks for 2 km at Modjadji Head Kraal by 30 September 2014</t>
  </si>
  <si>
    <t>Mandela Park road</t>
  </si>
  <si>
    <t>Modjadji Head Kraal road</t>
  </si>
  <si>
    <t>Complete construction</t>
  </si>
  <si>
    <t>Council Vehicle for the speaker</t>
  </si>
  <si>
    <t>Purchasing of Council vehicle for the Speaker by 31 March 2015</t>
  </si>
  <si>
    <t>Shredding machine for registry</t>
  </si>
  <si>
    <t xml:space="preserve">Sourcing of quatations and appointment of service provider for supply  </t>
  </si>
  <si>
    <t>2 x Gazebos</t>
  </si>
  <si>
    <t>01/09/2014</t>
  </si>
  <si>
    <t>4 Printers: Senwamokgope, Mokwakwaila, Kgapane and main office</t>
  </si>
  <si>
    <t>6 x Steel Filling Cabinet: Finance</t>
  </si>
  <si>
    <t xml:space="preserve">CORPS </t>
  </si>
  <si>
    <t>Office furniture</t>
  </si>
  <si>
    <t>Servers</t>
  </si>
  <si>
    <t>Server room door</t>
  </si>
  <si>
    <t>10 Laptops</t>
  </si>
  <si>
    <t>Shelves for filling</t>
  </si>
  <si>
    <t>Disaster Recovery Plan  and UPS</t>
  </si>
  <si>
    <t>Rotterdam (new Community hall)</t>
  </si>
  <si>
    <t>Rental of the network printer</t>
  </si>
  <si>
    <t>Maintenance Plan for all IT Systems</t>
  </si>
  <si>
    <t>Khosutupa Taxi Rank</t>
  </si>
  <si>
    <t>Maphalle Outdoor gym</t>
  </si>
  <si>
    <t>Design and construction of market stalls at Maphalle by 30 June 2015</t>
  </si>
  <si>
    <t>First Aid content</t>
  </si>
  <si>
    <t>Kgapane Cemetry layout and fencing</t>
  </si>
  <si>
    <t>Traffic Blue lights (2)</t>
  </si>
  <si>
    <t>Testing room for learners Licence</t>
  </si>
  <si>
    <t>To develop and implement skills Developemnt programmes by 30 June 2015</t>
  </si>
  <si>
    <t>Erection of  two (2) highmast lights at Mapaana village by 30 September 2014</t>
  </si>
  <si>
    <t>Erection of  two (2) highmast lights at Shamfana village by 30 September 2014</t>
  </si>
  <si>
    <t>Erection of  two (2) highmast lights at Mamokgadi village by 30 September 2014</t>
  </si>
  <si>
    <t>Erection of  two (2) highmast lights at Malematja village by 30 September 2014</t>
  </si>
  <si>
    <t>Erection of  two (2) highmast lights at Mamphakathi village by 30 September 2014</t>
  </si>
  <si>
    <t>Erection of  two (2) highmast lights at Abel village by 30 September 2014</t>
  </si>
  <si>
    <t>Erection of  ten(10) highmast lights in various villages by 30 September 2014</t>
  </si>
  <si>
    <t>Procuring and installation of modular issue counters at Soetfontein library 31 March 2015</t>
  </si>
  <si>
    <t>Lemondokop Street Paving</t>
  </si>
  <si>
    <t>Wholesale Taxi Rank</t>
  </si>
  <si>
    <t>Manage events effectively by 30 June 2015</t>
  </si>
  <si>
    <t>To award academic excellent performers by 30 June 2015</t>
  </si>
  <si>
    <t>To improve capacity of councillors by 30 June 2015</t>
  </si>
  <si>
    <t xml:space="preserve">Advertise for applications and pay costs- Payment of costs </t>
  </si>
  <si>
    <t>To enhance humanitarian by 30 June 2014</t>
  </si>
  <si>
    <t>To facilitate  youth development activities by 30 June 2015</t>
  </si>
  <si>
    <t>To facilitate  HIV/AIDS Council  activities by 30 June 2018</t>
  </si>
  <si>
    <t>To facilitate  Disability desk activities by 30 June 2017</t>
  </si>
  <si>
    <t>To facilitate  gender desk activities by 30 June 2016</t>
  </si>
  <si>
    <t>Supporting initiatives for youth empowerment</t>
  </si>
  <si>
    <t>Roads &amp; Transport</t>
  </si>
  <si>
    <t>Moroatshehla  Highmast Lights</t>
  </si>
  <si>
    <t>Ga-Kgapane Parks</t>
  </si>
  <si>
    <t>Outdoor Gyms x3 (Kgapane, Senwamokgope &amp;Modjadjiskloof)</t>
  </si>
  <si>
    <t>Community &amp; Social</t>
  </si>
  <si>
    <t>To develop and implement disaster recovery plan by 31 March 2015</t>
  </si>
  <si>
    <t>Thakgalang Highmast Lights</t>
  </si>
  <si>
    <t>Erection of  two (2) highmast lights at Thakgalang village by 30 September 2014</t>
  </si>
  <si>
    <t>Mamphakati Highmast Lights</t>
  </si>
  <si>
    <t>Choral Music Competition</t>
  </si>
  <si>
    <t>Planning and designing of community hall for Matswi village by 31 March 2015</t>
  </si>
  <si>
    <t>Matswi Community Hall</t>
  </si>
  <si>
    <t>Manage events and 50% of the budget spent</t>
  </si>
  <si>
    <t>To implement Batho Pele principles by 31 March 2015</t>
  </si>
  <si>
    <t>To ensure that all indigent applicants are registered in the indigent register within 14 days of receipt.</t>
  </si>
  <si>
    <t>% of Indigent applications registered (# of applications received/# of   indigent applicantions processed)</t>
  </si>
  <si>
    <t xml:space="preserve">To ensure that  draft IDP, Budget and SDBIP are adopted by 31 March 2015. </t>
  </si>
  <si>
    <t>To ensure that land use applications are processed within 90 days of receipt.</t>
  </si>
  <si>
    <t>To ensure that SDBIP is finalised by 30 June 2015.</t>
  </si>
  <si>
    <t>SDBIP approved by Mayor 28 days after adoption of the final Budget and IDP.</t>
  </si>
  <si>
    <t>SDBIP approved by Mayor 28 days after adoption of Budget and IDP</t>
  </si>
  <si>
    <t>% of land use applications processed (# of applications received / # of land use applications processed) within 90 days of receipt</t>
  </si>
  <si>
    <t># of Quarterly performance reports submitted to Council.</t>
  </si>
  <si>
    <t>To ensure that S57 Managers sign the performance agreements within 30 days after adoption of the final SDBIP.</t>
  </si>
  <si>
    <t># of S57 Managers with signed performance agreements within 30 days after adoption of the final SDBIP</t>
  </si>
  <si>
    <t># of quarterly  performance assessments conducted within 30 days after the end of the quarter.</t>
  </si>
  <si>
    <t xml:space="preserve">To ensure quartely assessments for S57 Managers is conducted within 30 days after the end of the quarter. </t>
  </si>
  <si>
    <t xml:space="preserve">To ensure that annual assessments of S57 Managers is conducted within 30 days after the end of the fiancial year. </t>
  </si>
  <si>
    <t># of annual  performance assessments conducted within 30 days after the end of the fiancial year.</t>
  </si>
  <si>
    <t>To ensure functionality of Audit committee within the financial year.</t>
  </si>
  <si>
    <t># of meetings held per quarter.</t>
  </si>
  <si>
    <t>To ensure functionality of Exco committee within the financial year.</t>
  </si>
  <si>
    <t>To ensure functionality of Council committee within the financial year.</t>
  </si>
  <si>
    <t>To ensure functionality of Risk committee within the financial year.</t>
  </si>
  <si>
    <t># of performance audit reports issued per quarter.</t>
  </si>
  <si>
    <t>To conduct quarterly assessment on municipal performance information.</t>
  </si>
  <si>
    <t>To develop annual year internal audit plan and implement by 30 June 2015.</t>
  </si>
  <si>
    <t>Approved internal audit plan and % of the IA plan implementation.</t>
  </si>
  <si>
    <t>To attain Clean Audit by ensuring compliance to all governance; financial management and reporting requirements by 30 June 2015</t>
  </si>
  <si>
    <t>To ensure efffective implementation  of risk mitigations actions 30 June 2015.</t>
  </si>
  <si>
    <t>To ensure that quartely financial statements are prepared within 14 days after the end of each quarter.</t>
  </si>
  <si>
    <t># of quarterly financial statements and submitted to the relevant authorities</t>
  </si>
  <si>
    <t>To ensure that financial information is supplied to relevant authorities by 30 June 2015.</t>
  </si>
  <si>
    <t>To ensure payment of service providers within 30 days of the submission of invoices.</t>
  </si>
  <si>
    <t>% of payments of service providers made within 30 days (# of invoices received / # of invoices paid.</t>
  </si>
  <si>
    <t>To effectively manage the financial affairs of the municipality within the financial year</t>
  </si>
  <si>
    <t xml:space="preserve">% MIG expenditure </t>
  </si>
  <si>
    <t>To ensure full participation of ward committees in annual ward programmes within the financial year.</t>
  </si>
  <si>
    <t># of ward committee programmes evaluated per month.</t>
  </si>
  <si>
    <t>To ensure that community complaints are resolved within time frames.</t>
  </si>
  <si>
    <t>% of complaints attended per month (# of community complaints received/ # of complaints atteneded to).</t>
  </si>
  <si>
    <t>To implement Mayoral outreach programme by 30 June 2015</t>
  </si>
  <si>
    <t># of local imbizos held by the Mayor by 30 June 2015.</t>
  </si>
  <si>
    <t>To ensure community participation in the affairs of the municipality within the financial year.</t>
  </si>
  <si>
    <t># of people who attend events</t>
  </si>
  <si>
    <t>To establish a good relationship with traditional leaders within the financial year.</t>
  </si>
  <si>
    <t># traditional leaders invited to take part in council meetings and activities.</t>
  </si>
  <si>
    <t># of official documents published.</t>
  </si>
  <si>
    <t>To publicise official documents in the website within legislated time frames (Budget, IDP, SDBIP)</t>
  </si>
  <si>
    <t>To promote effective and efficient communication within the financial year.</t>
  </si>
  <si>
    <t># of articles issued to the media quartely.</t>
  </si>
  <si>
    <t># of newslatters issued quarterly.</t>
  </si>
  <si>
    <t>To ensure proper contract management within the financial year.</t>
  </si>
  <si>
    <t>To ensure  effective implementation of the WSP within the financial year.</t>
  </si>
  <si>
    <t># of wellness and OHS campaigns conducted per quarter</t>
  </si>
  <si>
    <t>To fund good performing student from the needy families</t>
  </si>
  <si>
    <t>To develop and implement IDP process plan by 30 June 2015.</t>
  </si>
  <si>
    <t>IDP process plan adopted and implemented by 30 June 2015.</t>
  </si>
  <si>
    <t xml:space="preserve">Develop specification, submit to SCM, purchase and paste OHS sign posters  </t>
  </si>
  <si>
    <t>To purchase OHS signs and posters by 30 September 2014</t>
  </si>
  <si>
    <t>Develop specification, submit to SCM, purchase office signs and posters</t>
  </si>
  <si>
    <t>To purchase office signs and posters by 30 September 2014</t>
  </si>
  <si>
    <t>Develop specification, submit to SCM, purchase first aid kit</t>
  </si>
  <si>
    <t>01/07/2015</t>
  </si>
  <si>
    <t>30/09/2015</t>
  </si>
  <si>
    <t>To purchase First aid kit by 30 September 2014</t>
  </si>
  <si>
    <t>Develop specification, submit to SCM, purchase scanner</t>
  </si>
  <si>
    <t>Purchasing of a scanner by 30 September 2014</t>
  </si>
  <si>
    <t>Appointment of service provider and implement 50% of the project.</t>
  </si>
  <si>
    <t>To purchase  4 Printers: Senwamokgope, Mokwakwaila, Kgapane and main office by 30 September 2014</t>
  </si>
  <si>
    <t>Develop specification, submit to SCM and purchase printers</t>
  </si>
  <si>
    <t>Develop specification, submit to SCM and purchase steel filling cabinets</t>
  </si>
  <si>
    <t>Procument of 6 steel cabinets: Finance by 30 September 2014</t>
  </si>
  <si>
    <t>To purchase 10 laptops by 30 September 2014</t>
  </si>
  <si>
    <t>To purchase shelves for filling by 30 September 2014</t>
  </si>
  <si>
    <t xml:space="preserve">Construction of parking area for 36 vehicles at main office by 31 March  2015 </t>
  </si>
  <si>
    <t>Develop specification, submit  to SCM and purchase</t>
  </si>
  <si>
    <t>To organise EWP day by 12 December 2014</t>
  </si>
  <si>
    <t>To rent network printer by 12 December 2014</t>
  </si>
  <si>
    <t>To purchase Office furniture by 12 December 2014</t>
  </si>
  <si>
    <t>To purchase Servers by 12 December 2014</t>
  </si>
  <si>
    <t>To purchase Server room door by 12 December 2014</t>
  </si>
  <si>
    <t>To submit housing demand database to COGHSTA by the 12 December 2014</t>
  </si>
  <si>
    <t>House demand database submitted by 12 December 2014</t>
  </si>
  <si>
    <t>Database submitted to COGHSTA by the 12 December 2014</t>
  </si>
  <si>
    <t>To compile the Draft Annual Report and submit to council by 12 December 2014</t>
  </si>
  <si>
    <t>Draft Annual Report adopted by Council  on 12 December 2014</t>
  </si>
  <si>
    <t>Draft Annual Report adopted by Council on 12 December 2014</t>
  </si>
  <si>
    <t>To attain Clean Audit by ensuring compliance to all governance; financial management and reporting requirements by 12 December 2014</t>
  </si>
  <si>
    <t>Construction of Sport complex at Shaamiriri Village by 12 December 2014.</t>
  </si>
  <si>
    <t xml:space="preserve">Refurbish municipal workshop and stores by 12 December 2014 </t>
  </si>
  <si>
    <t>To organise the rainmaking ceremony by 12 December 2014</t>
  </si>
  <si>
    <t>Appoint consultants for professional services and resume with construction to 15%</t>
  </si>
  <si>
    <t>Design and construction of stormwater management channels in Modjadjiskloof by 31 March 2015</t>
  </si>
  <si>
    <t>Develop, submit specifications to SCM and purchase</t>
  </si>
  <si>
    <t>Purchasing of a plate compactor by 30 September 2014</t>
  </si>
  <si>
    <t xml:space="preserve">Upgrading of gravel to concrete paving blocks for 1.8 km at Mothobeki village by 31 March 2015 </t>
  </si>
  <si>
    <t>Upgrading of gravel to concrete paving blocks for 1.8 km at Mamaila Phaphadi village by 31 March 2015</t>
  </si>
  <si>
    <t>Upgrading of gravel to concrete paving blocks for 1.8 km at Raphahlelo village by 31 March 2015</t>
  </si>
  <si>
    <t>Purchasing of quick cut machine by 30 September 2014</t>
  </si>
  <si>
    <t>Construction of 3.5 km of sidewalks in Modjadjiskloof by 31 March 2015</t>
  </si>
  <si>
    <t>Construction up to 50%</t>
  </si>
  <si>
    <t>Purchasing and delivery</t>
  </si>
  <si>
    <t>12/12/2014</t>
  </si>
  <si>
    <t>Purchasing of two TLB (Backhoe Loader) by 12 December 2014</t>
  </si>
  <si>
    <t>Purchasing of a 2 tonner truck with quarter canopy for roads maintenance team by 12 December 2014</t>
  </si>
  <si>
    <t>Appoint service provider for installation of gabions, progress at 50%</t>
  </si>
  <si>
    <t>Supply and installation of gabions for Sekgopo by 31 March 2015</t>
  </si>
  <si>
    <t>Purchasing of 2 tipper trucks by 12 December 2014</t>
  </si>
  <si>
    <t>Appoint contractors and construction progress a 10%</t>
  </si>
  <si>
    <t>Appoint contractors and Construction progress a 50%</t>
  </si>
  <si>
    <t>Appoint service provider and designs progress at 30%</t>
  </si>
  <si>
    <t xml:space="preserve">Appoint service provider and resume and complete designs </t>
  </si>
  <si>
    <t>Construction of Ga-Kgapane Parks (Below Civic Centre and Mesopotamia) by 31 March 2015</t>
  </si>
  <si>
    <t>Construction of outdoor gym at Maphalle by 31 March 2015</t>
  </si>
  <si>
    <t>Construction of outdoor gym at Sekgopo village by 31 March 2015</t>
  </si>
  <si>
    <t>Construction of outdoor gym at Abel village by 31 March 2015</t>
  </si>
  <si>
    <t xml:space="preserve">Renovate 6 Rottaba Cottages in Modjadjiskloof by 31 March 2015 </t>
  </si>
  <si>
    <t>Upgrading of electricity infrastructure at Modjadjiskloof for compliance with NER by 31 March 2015</t>
  </si>
  <si>
    <t>Appoint contractors for construction and progress at 20%</t>
  </si>
  <si>
    <t>Construction of landfill site at Maphalle village by 31 March 2015</t>
  </si>
  <si>
    <t>Appoint service provider and construction at  25% progress</t>
  </si>
  <si>
    <t>Planning and designing of new community hall for Rotterdam by 31 March 2015</t>
  </si>
  <si>
    <t>Award performance in agricultural sector by 12 December 2014</t>
  </si>
  <si>
    <t>To organise the Wolkberg sports day by 31 March 2015</t>
  </si>
  <si>
    <t>Games held for various sporting codes</t>
  </si>
  <si>
    <t>To organise event for cultural activities by 31 March 2015</t>
  </si>
  <si>
    <t>To organise Choral Music Competition by 31 March 2015</t>
  </si>
  <si>
    <t>Appointment of professional service provider and progress of dermacation at 20%</t>
  </si>
  <si>
    <t>To demarcate and peg sites at Goudplaas by 31 March 2015</t>
  </si>
  <si>
    <t>To demarcate and peg sites at Nooitedaght by 31 March 2015</t>
  </si>
  <si>
    <t>Appoint service provider for conveyancing and progress at 20%</t>
  </si>
  <si>
    <t>Conveyance of unregistered municipal properties by 31 March 2015</t>
  </si>
  <si>
    <t>100% (# of complaints received / # of complaints resolved)</t>
  </si>
  <si>
    <t>Appointment of professional service provider</t>
  </si>
  <si>
    <t>Scanning of building plans, uploading in the GIS and progress at 50%</t>
  </si>
  <si>
    <t>12/12/2015</t>
  </si>
  <si>
    <t>Conduct environmental impact assessment</t>
  </si>
  <si>
    <t>To purchase 1 concrete mixer by 30 September 2014</t>
  </si>
  <si>
    <t>Purchasing of electrical tools and equipment by 30 September 2014</t>
  </si>
  <si>
    <t>31/09/2014</t>
  </si>
  <si>
    <t>Purchasing of shredding machine for registry by 30 September 2014</t>
  </si>
  <si>
    <t>Purchasing of 5 Aqua Coolers by 30 September 2014</t>
  </si>
  <si>
    <t>Purchasing of a Cooler box by 30 September 2014</t>
  </si>
  <si>
    <t xml:space="preserve">Appoint service provider and progress 20% </t>
  </si>
  <si>
    <t>Appoint service provider and erection of bus shelter at 50% progress.</t>
  </si>
  <si>
    <t>Supply and erection of bus shelter at Mokwakwaila - Ga-Kgapane road by 31 March 2015</t>
  </si>
  <si>
    <t>1/07/2014</t>
  </si>
  <si>
    <t>Purchasing of twotraffic Blue lights by 30 September 2014</t>
  </si>
  <si>
    <t>Supply and erection of bus shelter at Goudplaats village by 31 March 2015</t>
  </si>
  <si>
    <t>Supply and erection of bus shelter at Modjadji Head Kraal by 31 March 2015</t>
  </si>
  <si>
    <t>Appoint service providers and construction at 50%</t>
  </si>
  <si>
    <t>Construction Of  Testing room for learners Licences by 31 March 2015</t>
  </si>
  <si>
    <t>Supply and erection of bus shelter at Lemondokop - Mamaila road by 31 March 2015</t>
  </si>
  <si>
    <t>Supply and erection of bus shelter at Malematsa - Rapitsi road by 31 March 2015</t>
  </si>
  <si>
    <t>Design and construction of low level bridges by 31 March 2015</t>
  </si>
  <si>
    <t>Appointment of service provider and 100% plan completed.</t>
  </si>
  <si>
    <t>Develop maintenance Plan for all IT Systems by 30 September 2014</t>
  </si>
  <si>
    <t>Develop specifications,submit to SCM and purchase laptops.</t>
  </si>
  <si>
    <t>Planning and designing of street paving at Itieleng (Sekgosese) by 30 June 2015</t>
  </si>
  <si>
    <t>Planning and designing of street paving at Lemondokop by 30 June 2015</t>
  </si>
  <si>
    <t>Planning and designing of street paving at Refilwe village by 30 June 2015</t>
  </si>
  <si>
    <t>Planning and designing of street paving at Mamakata-Raselaka by 30 June 2015</t>
  </si>
  <si>
    <t>Planning and designing of Ivory-route street paving at Modjadji by 30 June 2015</t>
  </si>
  <si>
    <t>Planning and designing of taxi rank at Khosotupa by 30 June 2015</t>
  </si>
  <si>
    <t>Planning and designing of taxi rank at Wholesale by 30 June 2015</t>
  </si>
  <si>
    <t>Planning and designing of taxi rank at Mamphakati by 30 June  2015</t>
  </si>
  <si>
    <t xml:space="preserve">Upgrading of gravel to concrete paving blocks at Thakgalane by 30 September 2014 </t>
  </si>
  <si>
    <t>Planning and designing of street paving at Seatlaleng village by 30 June 2015</t>
  </si>
  <si>
    <t>Planning and designing of street paving at Mohlakong village by 30 June 2015</t>
  </si>
  <si>
    <t>Planning and designing of street paving at Sephukubje village by 30 June 2015</t>
  </si>
  <si>
    <t>Planning and designing of street paving at Matshelapata village by 30 June 2015</t>
  </si>
  <si>
    <t>Planning and designing of street paving at Shawela village by 30 June 2015</t>
  </si>
  <si>
    <t>Planning and designing of street paving at Sekgop (Maboying) village by 30 June 2015</t>
  </si>
  <si>
    <t>Planning and designing of street paving at Tlhotlhokwe village by 30 June 2015</t>
  </si>
  <si>
    <t>Planning and designing of street paving at Kherobene village by 30 June 2015</t>
  </si>
  <si>
    <t>Planning and designing of street paving at Shamfana village by 30 June 2015</t>
  </si>
  <si>
    <t>Appoint service provider and resume with designs at 30% progress</t>
  </si>
  <si>
    <t>Planning and designing of library at Mokwakwaila by 30 June 2015</t>
  </si>
  <si>
    <t>Upgrading of Ga-Kgapane stadium by 31 March 2015</t>
  </si>
  <si>
    <t>Appointment of service provider. Project management and construction monitoring to achieve progress of 10%</t>
  </si>
  <si>
    <t>Erection of  two (2) highmast lights at Moroatshehla  village by 30 September 2014.</t>
  </si>
  <si>
    <t>To organize and conduct environmental programme within the municipality quarterly</t>
  </si>
  <si>
    <t>Planning and designing of sport complex for Mamanyoha village by 30 June 2015</t>
  </si>
  <si>
    <t>Planning and designing of sport complex for Rotterdam  village by 30 June 2015</t>
  </si>
  <si>
    <t>Planning and designing of youth centre for Sekgopo  village by 30 June 2015</t>
  </si>
  <si>
    <t>Planning and designing of youth centre for Ga-Kgapane township by 30 June 2015</t>
  </si>
  <si>
    <t>Planning and designing of youth centre for Mokwakwaila  village by 30 June 2015</t>
  </si>
  <si>
    <t>Planning and designing of youth centre for Roerfontein  village by 30 June 2015</t>
  </si>
  <si>
    <t>Construction of outdoor gym at Ga-Kuranta village by 31 March 2015</t>
  </si>
  <si>
    <t>Installation of GPS system and training of end users by 31 March 2015</t>
  </si>
  <si>
    <t>Installation of security glass at Senwamokgope sub-office by 30 September 2014</t>
  </si>
  <si>
    <t>Purchasing of two (2) gazebos by 30 September 2014</t>
  </si>
  <si>
    <t>Planning and designing of library for Rotterdam village by 30 June 2015</t>
  </si>
  <si>
    <t>Planning and designing of library for Shotong village by 30 June 2015</t>
  </si>
  <si>
    <t>Planning and designing of old age facility for Madumeleng village by 30 June 2015</t>
  </si>
  <si>
    <t>Planning and designing of old age facility for Ga-Kgapane township by 30 June 2015</t>
  </si>
  <si>
    <t>Planning and designing of old age facility for Roerfontein village by 30 June 2015</t>
  </si>
  <si>
    <t>Purchasing of  Traffic  Sedan by 12 December 2014</t>
  </si>
  <si>
    <t>Appoint service provider and construction progress at 30%</t>
  </si>
  <si>
    <t>Appoint service provider and installation progress at 30%</t>
  </si>
  <si>
    <t>Enhancement &amp; Beautification of Modjadjiskloof Town Entrances by 30 June 2015</t>
  </si>
  <si>
    <t>Installation of 3 outdoor gyms at GaKgapane, Modjadjiskloof and Senwamokgope by 31 March 2015</t>
  </si>
  <si>
    <t>Challenges</t>
  </si>
  <si>
    <t>Interventions</t>
  </si>
  <si>
    <t>Expenditure</t>
  </si>
  <si>
    <t>Intervention</t>
  </si>
  <si>
    <t>Challeges</t>
  </si>
  <si>
    <t>None</t>
  </si>
  <si>
    <t>Tender to be awarded in the 3rd quarter</t>
  </si>
  <si>
    <t>Design to be finalised in the 3rd quarter</t>
  </si>
  <si>
    <t>Machine to be procured in the 3rd quarter</t>
  </si>
  <si>
    <t>Truck to be procured in the 3rd quarter</t>
  </si>
  <si>
    <t>Tender to be awarded and design be finalised in the 3rd quarter</t>
  </si>
  <si>
    <t xml:space="preserve">Apply penalties </t>
  </si>
  <si>
    <t>Tender was re-advertised for compliance with SCM regulations</t>
  </si>
  <si>
    <t>Construct self-built electricity supply</t>
  </si>
  <si>
    <t>Backlog in delivery of lights cause by strike in the metal industry</t>
  </si>
  <si>
    <t>Tender was advertised for reviewing designs</t>
  </si>
  <si>
    <t>Non-acceptance of the contract in the previous FY</t>
  </si>
  <si>
    <t>Delays caused by land dispute</t>
  </si>
  <si>
    <t>NONE</t>
  </si>
  <si>
    <t>Speed up the process of appointment</t>
  </si>
  <si>
    <t>Awaiting appointment</t>
  </si>
  <si>
    <t>SCM provide Legal with documents for development of SLA</t>
  </si>
  <si>
    <t>Service provider for designs has not yet started due to SLA which is not yet signed</t>
  </si>
  <si>
    <t>Speed up the process of evaluation and adjudication</t>
  </si>
  <si>
    <t>Speed up the appointment process</t>
  </si>
  <si>
    <t>R75 000.00</t>
  </si>
  <si>
    <t>R8 771.60</t>
  </si>
  <si>
    <t xml:space="preserve">Target not achieved. </t>
  </si>
  <si>
    <t>Qtr1 assessment not done.</t>
  </si>
  <si>
    <t>Target achieved. 100% of the qualifying employees awarded long service award.</t>
  </si>
  <si>
    <t xml:space="preserve">Target not achieved. Contractors not appointed and construction at 0% </t>
  </si>
  <si>
    <t>Target not achieved. Consultants not appointed. Construction at 0%</t>
  </si>
  <si>
    <t>Target not achieved. TLB (Backhoe loader) not purchased.</t>
  </si>
  <si>
    <t>Target not achieved. 2 tonner trucks with quarter canopy not purchased</t>
  </si>
  <si>
    <t>Target not achieved. Pllate compactor not purchased.</t>
  </si>
  <si>
    <t xml:space="preserve">Target not achieved. Service provider not appointed, installation of gabions at 0% </t>
  </si>
  <si>
    <t>Target not achieved. Tipper truch not purchased.</t>
  </si>
  <si>
    <t>Target not achieved. Service provider not appointed. Designs progress at 0%</t>
  </si>
  <si>
    <t>Target not achieved. Construction at 0%</t>
  </si>
  <si>
    <t>Target not achieved. Service provider not appointedand designs progress at 0%.</t>
  </si>
  <si>
    <t>Target not achieved. Construction stage: 95%</t>
  </si>
  <si>
    <t>Taget not achieved. Service provider not appointed for installation.</t>
  </si>
  <si>
    <t>Target not achieved. Consultants not appointed for professional services</t>
  </si>
  <si>
    <t>Target not achieved. Service provider not appointed. Construction progress at 0%</t>
  </si>
  <si>
    <t xml:space="preserve">Target not achieved. Service provider not appointed. Construction at 0%. </t>
  </si>
  <si>
    <t>Target not achieved. Service provider not appointed. Installation progress at 0%</t>
  </si>
  <si>
    <t>R48 056.89</t>
  </si>
  <si>
    <t>Target achieved. 1 x environmental campaign held.</t>
  </si>
  <si>
    <t>Target not achieved. Contractors not appointed. Construction at 0%</t>
  </si>
  <si>
    <t>Target not achieved. Architectures not appointed.</t>
  </si>
  <si>
    <t>Target not achieved. Consultants not appointed.</t>
  </si>
  <si>
    <t>Target achieved. Support initiatives have been identified</t>
  </si>
  <si>
    <t>Target achieved. Resolutions of the Tourism Indaba report implemented. The next indaba to be attended in May 2015</t>
  </si>
  <si>
    <t xml:space="preserve">Target achieved. Tender advertised </t>
  </si>
  <si>
    <t>Target achieved. Agriculture Awards ceremony was held</t>
  </si>
  <si>
    <t>Target not achieved. Did not participate in the ceremonies.</t>
  </si>
  <si>
    <t>Closed ceremonies were held and municipality was not engaged / invited</t>
  </si>
  <si>
    <t>Engage the ceremony organisers.</t>
  </si>
  <si>
    <t>Target achieved. Plan in place and activities are being held</t>
  </si>
  <si>
    <t>Target not achieved. Plan is in place and group stages not yet started</t>
  </si>
  <si>
    <t>Target not achieved. Professional service provider not appointed. Demarcation Progress at 0%</t>
  </si>
  <si>
    <t xml:space="preserve">Target not achieved. Professional service provider not appointed. </t>
  </si>
  <si>
    <t>Target not achieved. Scanning of building plan, uploading of plans in GIS progress at 0%</t>
  </si>
  <si>
    <t>Target achieved. 29</t>
  </si>
  <si>
    <t>Target achieved. 100% complaints received and resolved.(7/7)</t>
  </si>
  <si>
    <t>Target achieved. 100%</t>
  </si>
  <si>
    <t>Target achieved. 10 x Traditional leaders participate in Council activities</t>
  </si>
  <si>
    <t>Target achieved. Employees who attend congresses and conferences adhere to procedures.</t>
  </si>
  <si>
    <t>Target achieved. Need analysis of Councillors conducted. Specifications submitted to SCM</t>
  </si>
  <si>
    <t>Target achieved. Bursary scheme was advertised. Payments are made for the existing bursary holders.</t>
  </si>
  <si>
    <t>Target not achieved. Council vehicle for the speaker not purchased.</t>
  </si>
  <si>
    <t>Procured</t>
  </si>
  <si>
    <t>R10 300.00</t>
  </si>
  <si>
    <t>The initial  service provider has just finished and specification could not be made</t>
  </si>
  <si>
    <t>Start with Specification</t>
  </si>
  <si>
    <t>Appoint Service provider in the 3rd Qtr</t>
  </si>
  <si>
    <t>Target not achieved. Service provider not appointed. Progress at 0%</t>
  </si>
  <si>
    <t>Target not achieved. Service provider not appointed and erection of bus shelter at 0%</t>
  </si>
  <si>
    <t>Midyear target end Dec 2014</t>
  </si>
  <si>
    <t>Conduct awareness campaigns in all wards</t>
  </si>
  <si>
    <t xml:space="preserve">Target achieved. Process plan at 50% </t>
  </si>
  <si>
    <t>Target achieved.  2 x Quarterly performance reports submitted to Council</t>
  </si>
  <si>
    <t>Target not achieved. 4 performance agreements signed within 30 days after adoption of the final SDBIP</t>
  </si>
  <si>
    <t>Post of Director: Corporate Services was not yet filled.</t>
  </si>
  <si>
    <t>The incumbent appointed will sign performance agreement within 30 days of appointment.</t>
  </si>
  <si>
    <t>Target achieved. Annual performance asessment conducted.</t>
  </si>
  <si>
    <t>Conduct only formal assessment : midyear and annual.</t>
  </si>
  <si>
    <t>Target achieved. 2 x ordinary meetings; 2 x special Audit Committee meeting held</t>
  </si>
  <si>
    <t>Meeting postponed due to other official commitments</t>
  </si>
  <si>
    <t>Adherence to Risk Committee meeting schedule</t>
  </si>
  <si>
    <t xml:space="preserve">Target achieved. 1 x ordinary       4 x meetings held. </t>
  </si>
  <si>
    <t>Tender advertised</t>
  </si>
  <si>
    <t>Target achieved. 2 x OHS Risk assessment workshops conducted.</t>
  </si>
  <si>
    <t>Target achieved. 2x Health and safety awareness events held</t>
  </si>
  <si>
    <t>Target not achieved. Specification submitted. OHS Posters not purchased</t>
  </si>
  <si>
    <t>Target not achieved. First aid kit not purchased.</t>
  </si>
  <si>
    <t>First aid kit no longer required.</t>
  </si>
  <si>
    <t>To be removed during budget adjustment</t>
  </si>
  <si>
    <t>Target achieved. EWP day held.</t>
  </si>
  <si>
    <t>Target not achieved. Specifications developed and submitted to SCM. Scanner not purchased</t>
  </si>
  <si>
    <t>Non adherence to procurement plan</t>
  </si>
  <si>
    <t>Target achieved. Network printer rented (existing project)</t>
  </si>
  <si>
    <t>Target not achieved. Service provider not appointed and implementation at 0%.</t>
  </si>
  <si>
    <t>Target not achieved. 4 x printers not procured.</t>
  </si>
  <si>
    <t>Target achieved. 6 x steel cabinets purchased.</t>
  </si>
  <si>
    <t>Target not achieved. Office furniture not purchased.</t>
  </si>
  <si>
    <t>Achievements / Progress 
Midyear Ending  Dec 2014</t>
  </si>
  <si>
    <t>Reprioritise and review procurement plan</t>
  </si>
  <si>
    <t>Target not achieved. Server procured. Installation at 0%</t>
  </si>
  <si>
    <t>To followup with the service provider for installation</t>
  </si>
  <si>
    <t>Target not achieved. Server room door not procured. Installation at 0%.</t>
  </si>
  <si>
    <t xml:space="preserve">Target not achieved. 10 laptops not purchased </t>
  </si>
  <si>
    <t>Delay in the identification of DRP/UPS location</t>
  </si>
  <si>
    <t>Delay in identification of location for the shelves.</t>
  </si>
  <si>
    <t>Identification of a new location</t>
  </si>
  <si>
    <t>Purchase shelves for filling</t>
  </si>
  <si>
    <t>Target  not achieved. Service provider not appointed. Construction of municipal parking offices at 0%.</t>
  </si>
  <si>
    <t>Target not achieved. Highmast lights not erected.</t>
  </si>
  <si>
    <t xml:space="preserve">Target not achieved. Service provider not appointed </t>
  </si>
  <si>
    <t>Identify beneficiaries for distribution of seedlings.</t>
  </si>
  <si>
    <t>Target not achieved. Businnes support initiatives not implemented.</t>
  </si>
  <si>
    <t>Target not achieved. Tourism development initiatives not yet implemented.</t>
  </si>
  <si>
    <t>Delay in identification of initiatives</t>
  </si>
  <si>
    <t>Identification of initiatives for implementation</t>
  </si>
  <si>
    <t>Target not achieved. Support initiatives have been identified but not yet implemented</t>
  </si>
  <si>
    <t>Implementation of the support initiatives</t>
  </si>
  <si>
    <t>Choirs still registering</t>
  </si>
  <si>
    <t>Opening balances can only be moved after audit</t>
  </si>
  <si>
    <t>Target not achieved. 1x financial statements prepared and submitted to relevant authorities  (50%)</t>
  </si>
  <si>
    <t>2nd financial statements to be prepared and submitted end January</t>
  </si>
  <si>
    <t>Target achieved. 100% payment within 30 days</t>
  </si>
  <si>
    <t>Target not achieved. Service provider not appointed. No installation. Training not conducted.</t>
  </si>
  <si>
    <t>Tender to be awarded in the 3rd Qtr</t>
  </si>
  <si>
    <t>Target not achieved. Quotations not requested. Service provider not appointed. Security glass not installed.</t>
  </si>
  <si>
    <t>Request quotations for procurement, appoint service provider, supply and installation of security glass</t>
  </si>
  <si>
    <t>Target not achieved. Environmental Impact Assessment not conducted</t>
  </si>
  <si>
    <t>Target not achieved. Concrete mixer not purchased.</t>
  </si>
  <si>
    <t>Target achieved. Information collected and indigent register updated</t>
  </si>
  <si>
    <t>Target achieved. Revenue Enhancement Strategy implemented</t>
  </si>
  <si>
    <t>Target not achieved. Billing system not yet approved by Council</t>
  </si>
  <si>
    <t>Service provider charging high prices</t>
  </si>
  <si>
    <t>Price negotiation</t>
  </si>
  <si>
    <t>Target chieved.  Service provider appointed. Asset register updated</t>
  </si>
  <si>
    <t>Purchase during 4th Qtr.</t>
  </si>
  <si>
    <t>Target not achieved. 2 x Gazebos not purchased.</t>
  </si>
  <si>
    <t>Target not achieved. Scanner not purchased.</t>
  </si>
  <si>
    <t>Scanner no longer required.</t>
  </si>
  <si>
    <t>Target not achieved. Cooler box not purchased.</t>
  </si>
  <si>
    <t>To be purchased in the 3rd quarter</t>
  </si>
  <si>
    <t>5 x Aqua Coolers no longer required.</t>
  </si>
  <si>
    <t>Project on hold</t>
  </si>
  <si>
    <t>Resuscitation of the project</t>
  </si>
  <si>
    <t>2 financial statements (100%)</t>
  </si>
  <si>
    <t>5 x performance agreements signed within 30 days after adoption of the final SDBIP</t>
  </si>
  <si>
    <t>2 x meetings</t>
  </si>
  <si>
    <t>2 x risk committee meetings</t>
  </si>
  <si>
    <t>2 x Council meetings</t>
  </si>
  <si>
    <t>2 x Exco meetings</t>
  </si>
  <si>
    <t>2 x performance audit reports</t>
  </si>
  <si>
    <t>2 Health and Safety awareness events</t>
  </si>
  <si>
    <t>Develop specification, submit to SCM, advertise and purchase office furniture</t>
  </si>
  <si>
    <t>Develop specification, submit to SCM, advertise, appoint a service provider and 50% implementation</t>
  </si>
  <si>
    <t>Develop specification, submit to SCM, advertise, appoint a service provider and construction at 50% implementation</t>
  </si>
  <si>
    <t>Target achieved. 100% land use applications processed (21 land use applications received /21 land use applications processed)</t>
  </si>
  <si>
    <t>Target achieved. Games for various sporting codes  held.</t>
  </si>
  <si>
    <t>Target not achieved. 33% (9 received / 3 resolved)</t>
  </si>
  <si>
    <t>Boundary disputes</t>
  </si>
  <si>
    <t>Site pegging</t>
  </si>
  <si>
    <t>Target not achieved. 34% spent.</t>
  </si>
  <si>
    <t>Target not achieved. 10% spent.</t>
  </si>
  <si>
    <t>Target not achieved. 27% spent.</t>
  </si>
  <si>
    <t xml:space="preserve">Internship posts not filled. </t>
  </si>
  <si>
    <t>To fill the posts by 01 February 2015</t>
  </si>
  <si>
    <t>Target not achieved. 21.4% spent.</t>
  </si>
  <si>
    <t>Target achieved. Supplementary valuation roll conducted</t>
  </si>
  <si>
    <t>Target achieved. Annual performance report submitted to Council on 11 August 2014</t>
  </si>
  <si>
    <t>Target not achieved. 0% internal audit plan implemented</t>
  </si>
  <si>
    <t>Place implementation of IA findings on the Performance Agreement of Directors.</t>
  </si>
  <si>
    <t>Internal Audit Plan not approved</t>
  </si>
  <si>
    <t>Finalisation of Risk Register</t>
  </si>
  <si>
    <t>Non-implementation of IA queries</t>
  </si>
  <si>
    <t>Target not achieved. 7% (4 IA issues resolved / 30 issues reaised)</t>
  </si>
  <si>
    <t>Target not achieved. 0% (9 Risk issues raised/ 9 not resolved).  .</t>
  </si>
  <si>
    <t>Slow implementation of mitigation actions.</t>
  </si>
  <si>
    <t>Management have developed mitigation actions to address the risks identified</t>
  </si>
  <si>
    <t>To purchase in the 3rd Qtr</t>
  </si>
  <si>
    <t>Milestones       (Mid year)
Qtr Ending Dec 14</t>
  </si>
  <si>
    <t>Target achieved. Paymenst of skills development levy made</t>
  </si>
  <si>
    <t>.Appointment of service provider</t>
  </si>
  <si>
    <t>Target achieved. 2 x Imbizo held.</t>
  </si>
  <si>
    <t>Target achieved. 10 articles published</t>
  </si>
  <si>
    <t>Target not achieved. Newsletter not issued.</t>
  </si>
  <si>
    <t>Lack of capacity</t>
  </si>
  <si>
    <t>Appointment of Adim Officer: Communication &amp; events</t>
  </si>
  <si>
    <t>R790 075.00 (Professional fee)</t>
  </si>
  <si>
    <t>Target not achieved. Erection of highmast lights incomplete.</t>
  </si>
  <si>
    <t>Target not achieved. Construction incomplete</t>
  </si>
  <si>
    <t>To be completed in the 3rd Qtr</t>
  </si>
  <si>
    <t>R179 660.00 (Professional fees)</t>
  </si>
  <si>
    <t>R139 693.00 (Professional fees)</t>
  </si>
  <si>
    <t>R135 229.00 (Professional fees)</t>
  </si>
  <si>
    <t>R88 405.00 (Professional fees)</t>
  </si>
  <si>
    <t>R241 633.00 (Professional fees)</t>
  </si>
  <si>
    <t>R164 4213.00 (Professional fees)</t>
  </si>
  <si>
    <t>R132 600.00 (Professional fees)</t>
  </si>
  <si>
    <t>R142 363.00 (Professional fees)</t>
  </si>
  <si>
    <t>R1 726 644.00 (Professional fees)</t>
  </si>
  <si>
    <t>R960 000.00 (Professional fees)</t>
  </si>
  <si>
    <t>Number of applications made were less than the targeted number</t>
  </si>
  <si>
    <t>Award tenders in the 3rd quarter</t>
  </si>
  <si>
    <t>Appoint Admin Officer: Comm &amp; Events</t>
  </si>
  <si>
    <t>Target not achieved. No news letter was issued.</t>
  </si>
  <si>
    <t xml:space="preserve">Delay in compiling the newsletter </t>
  </si>
  <si>
    <t>To issue before the end March 2015</t>
  </si>
  <si>
    <t>Target not achieved. Calenders and diaries not purchased.</t>
  </si>
  <si>
    <t>To purchase by end March 2015</t>
  </si>
  <si>
    <t>To pruchase during the 3rd Qtr</t>
  </si>
  <si>
    <t>Target achieved. Memorandum submitted. Requisitions for tools and equipments have been made</t>
  </si>
  <si>
    <t>Target not achieved. Progress at 0%.</t>
  </si>
  <si>
    <t xml:space="preserve">Target not achived, Service provider not appointed. </t>
  </si>
  <si>
    <t>Target achieved. Employeed are trained as per WSP</t>
  </si>
  <si>
    <t>Target achieved. 6 documents are published on the website.</t>
  </si>
  <si>
    <t>Mid year target end Dec 2014</t>
  </si>
  <si>
    <t>Achievements / Progress mid year end Dec 2014</t>
  </si>
  <si>
    <t>Mid Year  target end Dec 2014</t>
  </si>
  <si>
    <t>Achievements/ Progress made end Dec 2014</t>
  </si>
  <si>
    <t>Achievements/Progress made end Dec 2014</t>
  </si>
  <si>
    <t>Midyear milestones 
Ending Dec 2014</t>
  </si>
  <si>
    <t>Purchase and delivery of Council Vehicle for the speaker</t>
  </si>
  <si>
    <t>Youth desk activities implementation</t>
  </si>
  <si>
    <t>Target achieved. Youth desk activity program developed and implemented</t>
  </si>
  <si>
    <t>Gender desk activities implementation</t>
  </si>
  <si>
    <t>Target achieved. Gender desk activity program developed and implemented.</t>
  </si>
  <si>
    <t>Target achieved. Disability desk activity program developed and implemented</t>
  </si>
  <si>
    <t>Disability desk activities implementation</t>
  </si>
  <si>
    <t>Target achieved. HIV/AIDS Council activity program developed and implemented.</t>
  </si>
  <si>
    <t>HIV/AIDS Council  activity program implementation</t>
  </si>
  <si>
    <t>Youth empowerment initiatives implementation</t>
  </si>
  <si>
    <t>Target achieved. Traffic blue lights procured</t>
  </si>
  <si>
    <t>Appoint service provider and purchase traffic sedan</t>
  </si>
  <si>
    <t>Midyear milestones 
Qtr Ending          Dec 2014</t>
  </si>
  <si>
    <t>No</t>
  </si>
  <si>
    <t>Budget Adjustment / Contract Amount</t>
  </si>
  <si>
    <t>Balance Rollover / Commitment</t>
  </si>
  <si>
    <t>Progress</t>
  </si>
  <si>
    <t>Renovation of Municipal Workshop</t>
  </si>
  <si>
    <t>Highmast lights in villages</t>
  </si>
  <si>
    <t>Tender awarded</t>
  </si>
  <si>
    <t>Ga-Kgapane Stadium Bridge</t>
  </si>
  <si>
    <t>Construction is at 11%</t>
  </si>
  <si>
    <t>Shawela Bridge</t>
  </si>
  <si>
    <t>Construction is at 15%</t>
  </si>
  <si>
    <t>Graders</t>
  </si>
  <si>
    <t>Mothobeki Street Paving</t>
  </si>
  <si>
    <t>100% complete (planning)</t>
  </si>
  <si>
    <t>Mamaila Phaphadi Street Paving</t>
  </si>
  <si>
    <t xml:space="preserve">Tender awarded </t>
  </si>
  <si>
    <t>Phooko Headkraal Street Paving</t>
  </si>
  <si>
    <t>Raphahlelo Street Paving</t>
  </si>
  <si>
    <t>Jamela Street Paving</t>
  </si>
  <si>
    <t>Construction is at 81%</t>
  </si>
  <si>
    <t>Sedibeng Street Paving</t>
  </si>
  <si>
    <t>Construction is at 94%</t>
  </si>
  <si>
    <t>Sefofotse Street Paving</t>
  </si>
  <si>
    <t>Rotterdam (Duvula) Street Paving</t>
  </si>
  <si>
    <t>100% complete</t>
  </si>
  <si>
    <t>Rotterdam (Mahunsi) Street Paving</t>
  </si>
  <si>
    <t>Construction is at 8%</t>
  </si>
  <si>
    <t>Medingen Street Paving</t>
  </si>
  <si>
    <t>Project at halt. Construction was at 25%</t>
  </si>
  <si>
    <t>Matswi Street Paving</t>
  </si>
  <si>
    <t>Construction at 75%</t>
  </si>
  <si>
    <t>Makaba Street Paving</t>
  </si>
  <si>
    <t>Construction at 95%</t>
  </si>
  <si>
    <t>Access road to Mokwakwaila Taxi Rank</t>
  </si>
  <si>
    <t>Modjadjiskloof Gabions</t>
  </si>
  <si>
    <t>Construction at 5%</t>
  </si>
  <si>
    <t>Upgrading of Hill and Kerk Streets</t>
  </si>
  <si>
    <t>The appointed service provider did not accept the contract</t>
  </si>
  <si>
    <t>Ga-Kgapane Sidewalks</t>
  </si>
  <si>
    <t>To be re-advertised</t>
  </si>
  <si>
    <t>Upgrading electricty network to NER standard</t>
  </si>
  <si>
    <t>Intergrated Roads &amp; Transport Plan</t>
  </si>
  <si>
    <t>Tender awarded and under implementation</t>
  </si>
  <si>
    <t>Supply of Water Cart</t>
  </si>
  <si>
    <t>Supply of Bulldozer</t>
  </si>
  <si>
    <t>Supply of Tipper Truck</t>
  </si>
  <si>
    <t>COMMITTMENT REGISTER (MIG FUNDING)</t>
  </si>
  <si>
    <t>Budget Adjustment 2013/2014</t>
  </si>
  <si>
    <t>Thakgalang Street Paving</t>
  </si>
  <si>
    <t>Project at halt. Construction was at 65%</t>
  </si>
  <si>
    <t>Rapitsi Street Paving</t>
  </si>
  <si>
    <t>Modjadji Headkraal Street Paving</t>
  </si>
  <si>
    <t>Construction at 88%</t>
  </si>
  <si>
    <t>Ga-Kgapane Streets Upgrading</t>
  </si>
  <si>
    <t>Senwamokgope Streets Upgrading</t>
  </si>
  <si>
    <t>Modjadji Valley Streets Upgrading</t>
  </si>
  <si>
    <t>Kuranta Street Paving</t>
  </si>
  <si>
    <t>Mokgoba Street Paving</t>
  </si>
  <si>
    <t>Senwamokgope Library</t>
  </si>
  <si>
    <t>Sekgopo Library</t>
  </si>
  <si>
    <t>Ga-Kgapane Stadium</t>
  </si>
  <si>
    <t>Target not achieved. 721 indigents applications received and processed.</t>
  </si>
  <si>
    <t>GREATER LETABA LOCAL MUNICIPALITY</t>
  </si>
  <si>
    <t>Evaluation stage</t>
  </si>
  <si>
    <t>Tlotlokwe Street paving</t>
  </si>
  <si>
    <t>Sekgopo Street paving</t>
  </si>
  <si>
    <t>Shawela Street paving</t>
  </si>
  <si>
    <t>Matshelapata Street paving</t>
  </si>
  <si>
    <t>Sephukhubje Street paving</t>
  </si>
  <si>
    <t>Awaiting apointment</t>
  </si>
  <si>
    <t>Completed</t>
  </si>
  <si>
    <t>Senwamokgope Stadium - Roll Over</t>
  </si>
  <si>
    <t xml:space="preserve">Mokwakwaila stadium - Roll Over </t>
  </si>
  <si>
    <t>work in progress</t>
  </si>
  <si>
    <t>Shaamiriri Sports complex</t>
  </si>
  <si>
    <t xml:space="preserve">Sekgopo Sports complex </t>
  </si>
  <si>
    <t>Lebaka Sports complex</t>
  </si>
  <si>
    <t>On Advertsement</t>
  </si>
  <si>
    <t>Mokwakwaila Library</t>
  </si>
  <si>
    <t>awarded</t>
  </si>
  <si>
    <t>Ratjeke Street Paving - Consultant</t>
  </si>
  <si>
    <t>Modjadji Head Kraal Road</t>
  </si>
  <si>
    <t>Mandela Park Road</t>
  </si>
  <si>
    <t>Advertised</t>
  </si>
  <si>
    <t>Maphalle market stalls</t>
  </si>
  <si>
    <t>Shawela Graveyard Bridge</t>
  </si>
  <si>
    <t>Upgrading of streets -Sekgopo</t>
  </si>
  <si>
    <t xml:space="preserve">Upgrading of streets -Modjadji Valley </t>
  </si>
  <si>
    <t>Upgrading of streets -Rapitsi</t>
  </si>
  <si>
    <t xml:space="preserve">Upgrading of streets -Mokgoba </t>
  </si>
  <si>
    <t xml:space="preserve">Upgrading of streets -Kuranta </t>
  </si>
  <si>
    <t>Upgrading of Streets-Thakgalane</t>
  </si>
  <si>
    <t xml:space="preserve">Ga-Kgapane Street Upgrading </t>
  </si>
  <si>
    <t>CONTRIBUTION FROM MIG</t>
  </si>
  <si>
    <t>Awarded</t>
  </si>
  <si>
    <t>Maximum Demand Metering</t>
  </si>
  <si>
    <t xml:space="preserve">No specification submitted </t>
  </si>
  <si>
    <t>Tools and Equipment</t>
  </si>
  <si>
    <t>Work in progress</t>
  </si>
  <si>
    <t>Upgrade of Electricity to NER Standards-NER Compliance</t>
  </si>
  <si>
    <t>Electricity/Electricity Distribution</t>
  </si>
  <si>
    <t>Traffic sedan</t>
  </si>
  <si>
    <t>Testing Room for Leaner Licenses</t>
  </si>
  <si>
    <t>Traffic Blue Lights(2)</t>
  </si>
  <si>
    <t>Road Transport/Vehicle licensing &amp; Testing</t>
  </si>
  <si>
    <t>Makaba Street Paving - Roll Over</t>
  </si>
  <si>
    <t>Mandela Barlow-Thibeni Road -Roll Over</t>
  </si>
  <si>
    <t>Maapana Street Paving - Roll Over</t>
  </si>
  <si>
    <t>Modjadji Ivory Route</t>
  </si>
  <si>
    <t>Mmaphakhati Taxi Rank</t>
  </si>
  <si>
    <t>Wholesaler Taxi Rank</t>
  </si>
  <si>
    <t>Khosotupa Taxi Rank</t>
  </si>
  <si>
    <t>Refilwe Street paving</t>
  </si>
  <si>
    <t>Itieleng-Sekgosese Street Paving</t>
  </si>
  <si>
    <t>Sekgopo Gabions</t>
  </si>
  <si>
    <t>No appointment was made</t>
  </si>
  <si>
    <t>Access Road to Mokwakwaila Taxi Rank</t>
  </si>
  <si>
    <t xml:space="preserve"> procured</t>
  </si>
  <si>
    <t>Bulldozer</t>
  </si>
  <si>
    <t>Work in Progress</t>
  </si>
  <si>
    <t>Matshwi Street paving</t>
  </si>
  <si>
    <t>Medigen Street paving</t>
  </si>
  <si>
    <t>Contractor did not accept due to underpricing</t>
  </si>
  <si>
    <t xml:space="preserve">Hill &amp; Kerk Streets Upgrading </t>
  </si>
  <si>
    <t>Rotterdam (Mahonsi)</t>
  </si>
  <si>
    <t>Mamaila (Kolobetona)</t>
  </si>
  <si>
    <t>Rotterdam (Duvula)</t>
  </si>
  <si>
    <t>Quick Cut machine</t>
  </si>
  <si>
    <t xml:space="preserve">Rehabilitation of Ga-kgapane Streets </t>
  </si>
  <si>
    <t>Tipper Truck</t>
  </si>
  <si>
    <t>procured</t>
  </si>
  <si>
    <t>Water cart</t>
  </si>
  <si>
    <t>Sedibeng Street Upgrading</t>
  </si>
  <si>
    <t>Jamela Street Paving -Consultants and Contractor</t>
  </si>
  <si>
    <t>Raphahlelo Head Kraal paving</t>
  </si>
  <si>
    <t>Design stage</t>
  </si>
  <si>
    <t>Mothobekgi Paving</t>
  </si>
  <si>
    <t>Plate Compator</t>
  </si>
  <si>
    <t>2 Toner Truck with Quarter Conopy</t>
  </si>
  <si>
    <t>TLB(Backhoe Loader)</t>
  </si>
  <si>
    <t>Graders (2)</t>
  </si>
  <si>
    <t>Modjadjiskloof Channels</t>
  </si>
  <si>
    <t>Low level Bridges</t>
  </si>
  <si>
    <t>Storm Water</t>
  </si>
  <si>
    <t>Waste Bakkie</t>
  </si>
  <si>
    <t>Skip Truck</t>
  </si>
  <si>
    <t>Skip Bins (14)</t>
  </si>
  <si>
    <t>Transfer Stations</t>
  </si>
  <si>
    <t>WASTE WATER MANAGEMENT</t>
  </si>
  <si>
    <t>Kuranta Outdoor gymnasium</t>
  </si>
  <si>
    <t>Abel Outdoor gymnasium</t>
  </si>
  <si>
    <t>Sekgopo Outdoor gymnasium</t>
  </si>
  <si>
    <t>Maphalle Outdoor gymnasium</t>
  </si>
  <si>
    <t>Outdoor gyms x 3 (Ga-Kgapane,Modjadjiskloof and Senwamokgope)</t>
  </si>
  <si>
    <t>Sekgopo Sport Complex</t>
  </si>
  <si>
    <t>Enhancement &amp; Beautifications of Town entrance</t>
  </si>
  <si>
    <t xml:space="preserve">Ga- Kgapane Park </t>
  </si>
  <si>
    <t xml:space="preserve">Mokgoba Streetlights </t>
  </si>
  <si>
    <t>.</t>
  </si>
  <si>
    <t>Raphahlelo,Phooko,Lomondokop Highmast - Roll Over</t>
  </si>
  <si>
    <t>Madumeleng,Mokohokong,ramaroka,Setlaleng Highmast - Roll Over</t>
  </si>
  <si>
    <t>Bellevue &amp; Mpepule Highmast - Roll Over</t>
  </si>
  <si>
    <t>Las Vegas,Rapitsi &amp; Makaba Highmast - Roll Over</t>
  </si>
  <si>
    <t>Motlhele,Rajeke &amp; Mamanyoha Highmast - Roll Over</t>
  </si>
  <si>
    <t>Mamphakhathi Highmast</t>
  </si>
  <si>
    <t>Highmast in 10 Village</t>
  </si>
  <si>
    <t>Malematja Highmast</t>
  </si>
  <si>
    <t>Mmamokgadi Highmast</t>
  </si>
  <si>
    <t>Shamfana Highmast</t>
  </si>
  <si>
    <t>Maapana Highmast</t>
  </si>
  <si>
    <t xml:space="preserve">Thakgalane Highmast </t>
  </si>
  <si>
    <t>Moroatshehla Highmast</t>
  </si>
  <si>
    <t>Abel Highmast</t>
  </si>
  <si>
    <t>Ga-Kgapane new cemetry earthworks</t>
  </si>
  <si>
    <t>Layout and Fencing  of 3 cemetries in Kgapane</t>
  </si>
  <si>
    <t>Community &amp; Social Services/Cemeteries</t>
  </si>
  <si>
    <t>Delayed delivery</t>
  </si>
  <si>
    <t>Versa Trollies</t>
  </si>
  <si>
    <t>Modular Issue Counter</t>
  </si>
  <si>
    <t>Libraries &amp; Archives</t>
  </si>
  <si>
    <t>Goedplaas Bus Shelter</t>
  </si>
  <si>
    <t>Mamaila Kolobetona Community Hall</t>
  </si>
  <si>
    <t>Ward 5 Communnity Hall</t>
  </si>
  <si>
    <t>Ward 2 Communnity Hall</t>
  </si>
  <si>
    <t>New Community Hall - Rotterdam</t>
  </si>
  <si>
    <t>Community Halls &amp; Facilities</t>
  </si>
  <si>
    <t xml:space="preserve">Purchasing of land </t>
  </si>
  <si>
    <t>Economic Development/ Planning</t>
  </si>
  <si>
    <t>Finance &amp; Admin/Others</t>
  </si>
  <si>
    <t xml:space="preserve">Parking at Municipal office </t>
  </si>
  <si>
    <t>Specification not submitted</t>
  </si>
  <si>
    <t>Rehibilitation of rotaba Cottages</t>
  </si>
  <si>
    <t>scanner</t>
  </si>
  <si>
    <t>Shelves for falling</t>
  </si>
  <si>
    <t>Refurbishment of Municipal workshop and stores</t>
  </si>
  <si>
    <t>Quotation stage</t>
  </si>
  <si>
    <t>Shedding Machine Registry</t>
  </si>
  <si>
    <t>Aqua cooler(5)</t>
  </si>
  <si>
    <t>Fencing and Paving of Kgapane Old Sub-Office</t>
  </si>
  <si>
    <t>Decoration of Council Chamber (including foyer) (Budget adjustment)</t>
  </si>
  <si>
    <t>Disaster Recovery Plan &amp; Implementation</t>
  </si>
  <si>
    <t>Laptop and Computer</t>
  </si>
  <si>
    <t>Server Room Door</t>
  </si>
  <si>
    <t>Specification Stage</t>
  </si>
  <si>
    <t>Server</t>
  </si>
  <si>
    <t>Information Technology</t>
  </si>
  <si>
    <t>Printers(4)Senwamokgope,Mokwakwaila,Kgapane and Main office</t>
  </si>
  <si>
    <t>Office Furniture</t>
  </si>
  <si>
    <t>Steel Filling Cabinets (2)</t>
  </si>
  <si>
    <t>Human Resource</t>
  </si>
  <si>
    <t>Service provider did not accept</t>
  </si>
  <si>
    <t>Printers (2) Salaries &amp; Revenue Section</t>
  </si>
  <si>
    <t>Specification not Submitted</t>
  </si>
  <si>
    <t>New tanks,pumps and shades</t>
  </si>
  <si>
    <t>Awaiting submission of quotations</t>
  </si>
  <si>
    <t>Security glass-senwamokgope cash office</t>
  </si>
  <si>
    <t>GPS System and Training</t>
  </si>
  <si>
    <t>Budget &amp; Treasury Office</t>
  </si>
  <si>
    <t>Recording System / Video Camera</t>
  </si>
  <si>
    <t>Gazebo(2)</t>
  </si>
  <si>
    <t>Council vehicles(Speaker)</t>
  </si>
  <si>
    <t>ACTUAL</t>
  </si>
  <si>
    <t>ROLL OVER</t>
  </si>
  <si>
    <t>BUDGET</t>
  </si>
  <si>
    <t>Projects/Equipment to be implemented</t>
  </si>
  <si>
    <t>SUPPLY CHAIN MANAGEMENT IMPLEMENTATION (Report on the implementation of SDBIP)</t>
  </si>
  <si>
    <t>Budget Implementation</t>
  </si>
  <si>
    <t xml:space="preserve"> </t>
  </si>
  <si>
    <t>Capital Projects</t>
  </si>
  <si>
    <t>Expenditure per vote (section 71 of the MFMA)</t>
  </si>
  <si>
    <t>Vote No</t>
  </si>
  <si>
    <t>Description</t>
  </si>
  <si>
    <t>Department</t>
  </si>
  <si>
    <t>Budget</t>
  </si>
  <si>
    <t>Actual</t>
  </si>
  <si>
    <t>%</t>
  </si>
  <si>
    <t>0014</t>
  </si>
  <si>
    <t>Library</t>
  </si>
  <si>
    <t>Comm.Serv</t>
  </si>
  <si>
    <t>0018</t>
  </si>
  <si>
    <t>Disaster Management</t>
  </si>
  <si>
    <t>0020</t>
  </si>
  <si>
    <t>Taxi Rank</t>
  </si>
  <si>
    <t>0022</t>
  </si>
  <si>
    <t>EDP</t>
  </si>
  <si>
    <t>0028</t>
  </si>
  <si>
    <t>Vehicle Licensing &amp; Testing</t>
  </si>
  <si>
    <t>0029</t>
  </si>
  <si>
    <t>Tech.Serv</t>
  </si>
  <si>
    <t>0032</t>
  </si>
  <si>
    <t>Comm Halls &amp; Other</t>
  </si>
  <si>
    <t>Non appointment of budgeted personnel.</t>
  </si>
  <si>
    <t>0033</t>
  </si>
  <si>
    <t>Housing</t>
  </si>
  <si>
    <t>0034</t>
  </si>
  <si>
    <t>0036</t>
  </si>
  <si>
    <t>Public Toilets</t>
  </si>
  <si>
    <t>0038</t>
  </si>
  <si>
    <t>Cemetries &amp; Crematoriums</t>
  </si>
  <si>
    <t>0039</t>
  </si>
  <si>
    <t>Finance &amp; Admin IT</t>
  </si>
  <si>
    <t>Corps</t>
  </si>
  <si>
    <t>0040</t>
  </si>
  <si>
    <t>Executive &amp; Council</t>
  </si>
  <si>
    <t>0041</t>
  </si>
  <si>
    <t>Finance &amp; Admin Other</t>
  </si>
  <si>
    <t>Corps Finance</t>
  </si>
  <si>
    <t>0042</t>
  </si>
  <si>
    <t>Refuse Removal</t>
  </si>
  <si>
    <t>0043</t>
  </si>
  <si>
    <t>Sewerage</t>
  </si>
  <si>
    <t>0046</t>
  </si>
  <si>
    <t>Finance &amp; Admin HR</t>
  </si>
  <si>
    <t>0048</t>
  </si>
  <si>
    <t>Municipal Manager</t>
  </si>
  <si>
    <t>Exec &amp; Coun</t>
  </si>
  <si>
    <t>0050</t>
  </si>
  <si>
    <t>Finance &amp; Admin Finance</t>
  </si>
  <si>
    <t>Finance</t>
  </si>
  <si>
    <t>0052</t>
  </si>
  <si>
    <t>0054</t>
  </si>
  <si>
    <t>0058</t>
  </si>
  <si>
    <t>Workshop</t>
  </si>
  <si>
    <t>0062</t>
  </si>
  <si>
    <t>Water Storage</t>
  </si>
  <si>
    <t>Tech Serv</t>
  </si>
  <si>
    <t>0071</t>
  </si>
  <si>
    <t>Electricity</t>
  </si>
  <si>
    <t>0073</t>
  </si>
  <si>
    <t>Water</t>
  </si>
  <si>
    <t>Total</t>
  </si>
  <si>
    <t>Capital Expenditure</t>
  </si>
  <si>
    <t>Expenditure To Date</t>
  </si>
  <si>
    <t>Operating Expenditure</t>
  </si>
  <si>
    <t>Total Average for Capital &amp; Operating Expenditure</t>
  </si>
  <si>
    <t>IN HOUSE REPORT DECEMBER 2014</t>
  </si>
  <si>
    <t>INCOME FOR THE YEAR TO DATE</t>
  </si>
  <si>
    <t>Actual as Per Revenue Source</t>
  </si>
  <si>
    <t>Source</t>
  </si>
  <si>
    <t>Billed to date</t>
  </si>
  <si>
    <t xml:space="preserve">Received to date </t>
  </si>
  <si>
    <t>Assessment Rates</t>
  </si>
  <si>
    <t>Equitable Shares</t>
  </si>
  <si>
    <t>Traffic Fines</t>
  </si>
  <si>
    <t>Agencies fees</t>
  </si>
  <si>
    <t>Traffic Licences and Permits</t>
  </si>
  <si>
    <t>Interest from Outstanding Debtors</t>
  </si>
  <si>
    <t>Interest from External Investment</t>
  </si>
  <si>
    <t>Debt Impairment</t>
  </si>
  <si>
    <t>Interest Received: FNB</t>
  </si>
  <si>
    <t>Other Income</t>
  </si>
  <si>
    <t>Total Income Excluding Conditional Grants</t>
  </si>
  <si>
    <t>INCOME FROM CONDITIONAL GRANTS</t>
  </si>
  <si>
    <t>MUNICIPAL INFRASTRUCTURE GRANT (MIG)</t>
  </si>
  <si>
    <t>In terms of the Municipal Financial year 2014/2015</t>
  </si>
  <si>
    <t>To date Received</t>
  </si>
  <si>
    <t xml:space="preserve">MIG - Roll Over </t>
  </si>
  <si>
    <t>MIG</t>
  </si>
  <si>
    <t>MUNICIPAL SYSTEM IMPROVEMENT GRANT (MSIG)</t>
  </si>
  <si>
    <t>Accumulative figures from 2005/2006 to 2014/2015</t>
  </si>
  <si>
    <t>To date Transferred</t>
  </si>
  <si>
    <t>To date Expenditure</t>
  </si>
  <si>
    <t>Percentage</t>
  </si>
  <si>
    <t>Unspent Amount</t>
  </si>
  <si>
    <t>FINANCIAL MANAGEMENT GRANT (FMG)</t>
  </si>
  <si>
    <t>Spent since Inception (see last month)</t>
  </si>
  <si>
    <t>Spent this Month</t>
  </si>
  <si>
    <t>Total FMG Fund Spent</t>
  </si>
  <si>
    <t>Salaries</t>
  </si>
  <si>
    <t>Expenditure on staff benefits (section 66 of MFMA)</t>
  </si>
  <si>
    <t>Details</t>
  </si>
  <si>
    <t>Monthly</t>
  </si>
  <si>
    <t>Housing Subsidy</t>
  </si>
  <si>
    <t>Uniform</t>
  </si>
  <si>
    <t>Standby Allowance</t>
  </si>
  <si>
    <t>Group Insurance</t>
  </si>
  <si>
    <t>Industrial Council</t>
  </si>
  <si>
    <t>Medical Aid Fund</t>
  </si>
  <si>
    <t>Overtime</t>
  </si>
  <si>
    <t>Pension Fund</t>
  </si>
  <si>
    <t>Leave Redemption</t>
  </si>
  <si>
    <t>Leave Bonus</t>
  </si>
  <si>
    <t>Vehicle Allowance</t>
  </si>
  <si>
    <t>Total Salaries &amp;</t>
  </si>
  <si>
    <t>Allowance</t>
  </si>
  <si>
    <t>Expenditure on Councillors  Allowances</t>
  </si>
  <si>
    <t>Total allowance</t>
  </si>
  <si>
    <t>Councillors</t>
  </si>
  <si>
    <t>Overtime Per Department</t>
  </si>
  <si>
    <t>Community Hall</t>
  </si>
  <si>
    <t>Solution</t>
  </si>
  <si>
    <t>CASH RECEIPTS BY SOURCE</t>
  </si>
  <si>
    <t>July</t>
  </si>
  <si>
    <t>August</t>
  </si>
  <si>
    <t>September</t>
  </si>
  <si>
    <t>October</t>
  </si>
  <si>
    <t>November</t>
  </si>
  <si>
    <t>December</t>
  </si>
  <si>
    <t>January</t>
  </si>
  <si>
    <t>February</t>
  </si>
  <si>
    <t>March</t>
  </si>
  <si>
    <t>April</t>
  </si>
  <si>
    <t>May</t>
  </si>
  <si>
    <t>June</t>
  </si>
  <si>
    <t>Property rates</t>
  </si>
  <si>
    <t>Service charges - electricity revenue</t>
  </si>
  <si>
    <t>Service charges - refuse revenue</t>
  </si>
  <si>
    <t>Rental of facilities and equipment</t>
  </si>
  <si>
    <t>Interest earned - external investments</t>
  </si>
  <si>
    <t>Interest earned - outstanding debtors</t>
  </si>
  <si>
    <t>Fines</t>
  </si>
  <si>
    <t>Licences and permits</t>
  </si>
  <si>
    <t>Agency services</t>
  </si>
  <si>
    <t>Transfer receipts - operational</t>
  </si>
  <si>
    <t>Other revenue</t>
  </si>
  <si>
    <t>OTHER CASH FLOWS/ RECEIPTS BY SOURCE</t>
  </si>
  <si>
    <t>Transfer receipts - Capital</t>
  </si>
  <si>
    <t>CASH PAYMENT BY TYPE</t>
  </si>
  <si>
    <t>Employee related costs</t>
  </si>
  <si>
    <t>Remuneration of councillors</t>
  </si>
  <si>
    <t>Interest paid</t>
  </si>
  <si>
    <t>Bulk purchases - Electricity</t>
  </si>
  <si>
    <t>Contracted services</t>
  </si>
  <si>
    <t>General expenses</t>
  </si>
  <si>
    <t>OTHER CASH FLOW/PAYMENTS BY TYPE</t>
  </si>
  <si>
    <t>Capital Assets</t>
  </si>
  <si>
    <t>Payment of Borrowing</t>
  </si>
  <si>
    <t>TOTAL CASH PAYMENT BY TYPE</t>
  </si>
  <si>
    <t>NET INCREASE/DECREASE IN CASH HELD</t>
  </si>
  <si>
    <t>Main Account</t>
  </si>
  <si>
    <t>Traffic</t>
  </si>
  <si>
    <t>Investments</t>
  </si>
  <si>
    <t>The Municipality has got investments in the following institutions:</t>
  </si>
  <si>
    <t>Momentum</t>
  </si>
  <si>
    <t>Old Mutual</t>
  </si>
  <si>
    <t>NedGroup</t>
  </si>
  <si>
    <t>ABSA</t>
  </si>
  <si>
    <t>Investec</t>
  </si>
  <si>
    <t>Momentum investment is held as security for the DBSA loan, to be changed from a call account</t>
  </si>
  <si>
    <t>to a long term investment to yield better interest rate.</t>
  </si>
  <si>
    <t>ABSA investment to be withdrawn as it is a fixed deposit and not held as security for DBSA.</t>
  </si>
  <si>
    <t>Monthly Withdrawals from the Bank</t>
  </si>
  <si>
    <t>Month</t>
  </si>
  <si>
    <t>Amount</t>
  </si>
  <si>
    <t>Total Withdrawals To Date</t>
  </si>
  <si>
    <t>Long Term Loans</t>
  </si>
  <si>
    <t xml:space="preserve">An agreement for the repayment of the loan has been drawn. The municipality has to make </t>
  </si>
  <si>
    <r>
      <t xml:space="preserve">is </t>
    </r>
    <r>
      <rPr>
        <b/>
        <sz val="11"/>
        <color theme="1"/>
        <rFont val="Calibri"/>
        <family val="2"/>
        <scheme val="minor"/>
      </rPr>
      <t>R7 372 868.00</t>
    </r>
    <r>
      <rPr>
        <sz val="11"/>
        <color theme="1"/>
        <rFont val="Calibri"/>
        <family val="2"/>
        <scheme val="minor"/>
      </rPr>
      <t xml:space="preserve"> for the DBSA loan.</t>
    </r>
  </si>
  <si>
    <t>Bank Balances as at 31 December 2014</t>
  </si>
  <si>
    <t>four(4) equal instalments of R 540 654 quarterly for 15 years. The balance as at 31 December 2014</t>
  </si>
  <si>
    <t>Debtors Age Analysis</t>
  </si>
  <si>
    <t>Total billing for the year 2014/2015</t>
  </si>
  <si>
    <t>Total Payments Received for the year 2014/2015</t>
  </si>
  <si>
    <t>Total Outstanding Debts for the year 2014/2015</t>
  </si>
  <si>
    <t>Total Oustanding Debts owed by the Departments</t>
  </si>
  <si>
    <t>Detail</t>
  </si>
  <si>
    <t xml:space="preserve">0-30 </t>
  </si>
  <si>
    <t xml:space="preserve">31-60 </t>
  </si>
  <si>
    <t xml:space="preserve">61-90 </t>
  </si>
  <si>
    <t xml:space="preserve">91-120 </t>
  </si>
  <si>
    <t xml:space="preserve">121-150 </t>
  </si>
  <si>
    <t>Days</t>
  </si>
  <si>
    <t xml:space="preserve">Debtors Age </t>
  </si>
  <si>
    <t xml:space="preserve">Analysis by </t>
  </si>
  <si>
    <t>Income Source</t>
  </si>
  <si>
    <t xml:space="preserve">Water </t>
  </si>
  <si>
    <t>Tariffs</t>
  </si>
  <si>
    <t xml:space="preserve">Electricity </t>
  </si>
  <si>
    <t>Rates (Property</t>
  </si>
  <si>
    <t>Rates )</t>
  </si>
  <si>
    <t xml:space="preserve">Sewerage/ </t>
  </si>
  <si>
    <t>Sanitation Tariffs</t>
  </si>
  <si>
    <t>Housing (Rental</t>
  </si>
  <si>
    <t>Income)</t>
  </si>
  <si>
    <t>RSC Levies</t>
  </si>
  <si>
    <t>Other</t>
  </si>
  <si>
    <t>Total By Income</t>
  </si>
  <si>
    <t>Customer Group</t>
  </si>
  <si>
    <t>Government</t>
  </si>
  <si>
    <t>Business</t>
  </si>
  <si>
    <t>Households</t>
  </si>
  <si>
    <t xml:space="preserve">Total By </t>
  </si>
  <si>
    <t>Free Basic Electricity</t>
  </si>
  <si>
    <t>Approved Beneficiaries for Free Basic Electricity by Eskom</t>
  </si>
  <si>
    <t>Wards</t>
  </si>
  <si>
    <t>Configure No</t>
  </si>
  <si>
    <t>Submitted Applications</t>
  </si>
  <si>
    <t>0</t>
  </si>
  <si>
    <t xml:space="preserve">Own licenced </t>
  </si>
  <si>
    <t>FBE</t>
  </si>
  <si>
    <t>On average, the monthly account for FBE amounts to  R70 230.17 vat  exclusive.</t>
  </si>
  <si>
    <t>Beneficiaries do not collect the coupons and this leads to Eskom cancelling the applications.</t>
  </si>
  <si>
    <t>We do not have reliable statistics for all the individuals that receive Free Basic Water.</t>
  </si>
  <si>
    <t>We rely on the indigent register (27 324 Boreholes and Water tanker truck deliveries)</t>
  </si>
  <si>
    <t>We have 29 indigents in Ga-kgapane ,Senwamokgope and  Modjadjiskloof receiving the following</t>
  </si>
  <si>
    <t>Free Basic Sewerage (total monthly charge)</t>
  </si>
  <si>
    <t>Free Basic Water (6kl)</t>
  </si>
  <si>
    <t>Free Basic refuse (total monthly charge)</t>
  </si>
  <si>
    <t>After the implementation of the Municipal Property Act, their properties had rebates that allowed</t>
  </si>
  <si>
    <t>them not to be charged the rates at all (zero rate due to rebates)</t>
  </si>
  <si>
    <t>We have 68 indigent in Mokgoba receiving Electricity only</t>
  </si>
  <si>
    <t>MUNICIPAL SYSTEMS IMPROVEMENT GRANT (MSIG)</t>
  </si>
  <si>
    <t>MSIG</t>
  </si>
  <si>
    <t>FINANCE MANAGEMENT GRANT (FMG)</t>
  </si>
  <si>
    <t>FMG</t>
  </si>
  <si>
    <t>EXTENDED PUBLIC WORKS PROGRAMME  (EPWP)</t>
  </si>
  <si>
    <t>EPWP</t>
  </si>
  <si>
    <r>
      <t>1.</t>
    </r>
    <r>
      <rPr>
        <b/>
        <sz val="7"/>
        <color theme="1"/>
        <rFont val="Times New Roman"/>
        <family val="1"/>
      </rPr>
      <t xml:space="preserve">    </t>
    </r>
    <r>
      <rPr>
        <b/>
        <sz val="11"/>
        <color theme="1"/>
        <rFont val="Arial"/>
        <family val="2"/>
      </rPr>
      <t xml:space="preserve">INTRODUCTION </t>
    </r>
  </si>
  <si>
    <t>This report encompasses the 2013/2014 Mid-year Budget and Performance Assessment Report which has been compiled in accordance with Section 72  of the Municipal Finance Management Act, Act 56 of 2003 (MFMA). The report provides an overview of the applicable legislative framework and the manner in which the Municipality has performed with regard to Service Delivery Implementation Plan.</t>
  </si>
  <si>
    <r>
      <t>2.</t>
    </r>
    <r>
      <rPr>
        <b/>
        <sz val="7"/>
        <color theme="1"/>
        <rFont val="Times New Roman"/>
        <family val="1"/>
      </rPr>
      <t xml:space="preserve">    </t>
    </r>
    <r>
      <rPr>
        <b/>
        <sz val="11"/>
        <color theme="1"/>
        <rFont val="Arial"/>
        <family val="2"/>
      </rPr>
      <t>LEGISLATIVE BACKGROUND</t>
    </r>
  </si>
  <si>
    <r>
      <t>2.1.</t>
    </r>
    <r>
      <rPr>
        <b/>
        <sz val="7"/>
        <color theme="1"/>
        <rFont val="Times New Roman"/>
        <family val="1"/>
      </rPr>
      <t xml:space="preserve">        </t>
    </r>
    <r>
      <rPr>
        <b/>
        <sz val="11"/>
        <color theme="1"/>
        <rFont val="Arial"/>
        <family val="2"/>
      </rPr>
      <t>Municipal Finance Management Act, 2003</t>
    </r>
  </si>
  <si>
    <t>Section 72, of the MFMA 2003, says the following regarding the mid-year budget and performance assessment:</t>
  </si>
  <si>
    <t xml:space="preserve">The Accounting Officer of a municipality must by 25 January of each year; </t>
  </si>
  <si>
    <t>Assess the performance of the municipality during the first half of the financial year, taking into account:</t>
  </si>
  <si>
    <t>The monthly statements</t>
  </si>
  <si>
    <t>Municipality’s service delivery performance during the first half of the financial year- service delivery targets and performance indicators set in the Service Delivery and Budget Implementation Plan</t>
  </si>
  <si>
    <t>The past year’s annual report and progress on resolving problems identified in the annual report.</t>
  </si>
  <si>
    <t xml:space="preserve">   o KPA 2: Basic Service Delivery</t>
  </si>
  <si>
    <t xml:space="preserve">   o KPA 3: Local Economic Development</t>
  </si>
  <si>
    <t xml:space="preserve">   o KPA 4: Municipal Financial Viability and Management</t>
  </si>
  <si>
    <t xml:space="preserve">   o KPA 5: Good Governance and Public Participation</t>
  </si>
  <si>
    <t>2.2.        OTHER LEGISLATIONS</t>
  </si>
  <si>
    <t xml:space="preserve">The Strategy Map depicts the Strategic Objectives on how Greater Letaba Municipality will be able to become an outstanding agro-processing and eco-cultural tourism hub while providing sustainable and affordable services to all.   These objectives were positioned in terms of the Balanced Scorecard Perspectives being:  Learning and Growth; Institutional Processes; Financial results and Community Satisfaction.  All operational outputs (projects, initiatives and process) as contained within the SDBIP are aligned to the attainment of one or more of these objectives. </t>
  </si>
  <si>
    <t>Strategy map</t>
  </si>
  <si>
    <t>Vision and Mission</t>
  </si>
  <si>
    <t>SERVICE DELIVERY PERFORMANCE SUMMARY</t>
  </si>
  <si>
    <t>Municipal Transformation and Organisational Development</t>
  </si>
  <si>
    <t>Basic ServiceDelivery</t>
  </si>
  <si>
    <t>Municipal Finance Management Viability</t>
  </si>
  <si>
    <t>Good Governance and Public Participation</t>
  </si>
  <si>
    <t>KPA</t>
  </si>
  <si>
    <t>% Target achieved</t>
  </si>
  <si>
    <t>No. of targets achieved</t>
  </si>
  <si>
    <t>Target achieved. Database submitted to COGHSTA by the 12 December 2015</t>
  </si>
  <si>
    <t>Target not achieved. No communication programme / event was done.</t>
  </si>
  <si>
    <t>Target achieved.  51.3%</t>
  </si>
  <si>
    <t>Overall % = 30.45%</t>
  </si>
  <si>
    <t>Table of Contents</t>
  </si>
  <si>
    <t>Introduction</t>
  </si>
  <si>
    <t>Strategic Vision, Mission and Strategy Map</t>
  </si>
  <si>
    <t>Municipal Transformation and Organisational Development Projects</t>
  </si>
  <si>
    <t>Basic Service Delivery Projects</t>
  </si>
  <si>
    <t>Local Economic Development Projects</t>
  </si>
  <si>
    <t>Municipal Financial Viability KPI's</t>
  </si>
  <si>
    <t>Municipal Financial Viability Projects</t>
  </si>
  <si>
    <t>Good Governance and Public Participation Projects</t>
  </si>
  <si>
    <t>Other Legislations</t>
  </si>
  <si>
    <t>Municipal Transformation and Organisational Development KPIs</t>
  </si>
  <si>
    <t>KPA 2 BASIC SERVICE DELIVERY AND INFRASTRUCTURE
KEY PERFORMANCE PROJECTS
OUTCOME NINE (OUTPUT 2: IMPROVING ACCESS TO BASIC SERVICES, OUTPUT 3: IMPLEMENTATION OF THE COMMUNITY WORK PROGRAMME)</t>
  </si>
  <si>
    <t>Good Governance and Public Participation KPIs</t>
  </si>
  <si>
    <t xml:space="preserve">Rollover Projects </t>
  </si>
  <si>
    <t>Service Delivery Performance Summary and Analysis</t>
  </si>
  <si>
    <t>Mid Year Financial Performance</t>
  </si>
  <si>
    <t>Aproval</t>
  </si>
  <si>
    <t>ROLL OVER PROJECTS COMMITTMENT REGISTER (OWN FUNDING)</t>
  </si>
  <si>
    <t>CONCLUSION</t>
  </si>
  <si>
    <t>The mid-year budget and performance assessment indicates that:</t>
  </si>
  <si>
    <t>The performance Agreements of section 57 employees be amended accordingly.</t>
  </si>
  <si>
    <t>The table and graph below illustrates service delivery performance of Greater Letaba Municipality against the National Key Performance Areas (NKPAs)</t>
  </si>
  <si>
    <t>The Accounting Officer is expected to submit a report on such assessment to the Mayor of the municipality, the National Treasury and the relevant Provincial Treasury.</t>
  </si>
  <si>
    <t xml:space="preserve">The strategic vision of the organisation sets the long term goal the Municipality intends to achieve. The vision of Greater Letaba Municipality is:
"To be an outstanding agro-processing and eco-cultural tourism hub.
The strategic Mission Speaks about what the purpose of Greater Letaba Municipality is:
The mission of Greater Letaba Municipality is to ensure an effective, efficient and economically viable municipality through:
  Provision of accountable, transparent, consultative and co-operative governance
  Improving the quality of life through economic development and poverty alleviation
  Provision of sustainable services
  Ensuring a safe and healthy environment
</t>
  </si>
  <si>
    <t>2 Quarterly performance reports submitted to Council</t>
  </si>
  <si>
    <t>2 x Annual performance asessments</t>
  </si>
  <si>
    <t xml:space="preserve">1 x performance assessment </t>
  </si>
  <si>
    <t>Target not achieved. 1x Risk Committee meetings held</t>
  </si>
  <si>
    <t>Target achieved. 2 x performance audit reports issued.</t>
  </si>
  <si>
    <t>% of AG issues resolved (#  of  Auditor-General issues resolved / # of issues raised)</t>
  </si>
  <si>
    <t>Request quotations for procurement, appoint service provider, supply and installation of servers at 100%</t>
  </si>
  <si>
    <t>Request quotations for procurement, appoint service provider, supply and installation of server room door at 100%</t>
  </si>
  <si>
    <t>Target not achieved. Shelves not purchased.</t>
  </si>
  <si>
    <t>Appoint contractors and construction progress at 10%</t>
  </si>
  <si>
    <t>Target not achieved. Service provider not appointed and designs progress at 0%.</t>
  </si>
  <si>
    <t>Target not achieved. Contractors not appointed and. Construction at 0%.</t>
  </si>
  <si>
    <t>Target achieved. Implementation plan is in place and sporting codes are being held</t>
  </si>
  <si>
    <t>speed up registration</t>
  </si>
  <si>
    <t>Target not achieved. Tools and equipment not purchased.</t>
  </si>
  <si>
    <t>Delay in the process of obtaining concurrence from the MEC s office</t>
  </si>
  <si>
    <t>Target not achieved. Shredding machine not purchased.</t>
  </si>
  <si>
    <t>Target achieved. 100%. All service providers appointed have service providers</t>
  </si>
  <si>
    <t>Target achieved. 1 x OHS campaign held</t>
  </si>
  <si>
    <t>Contract terminated. Tender to be readvertised</t>
  </si>
  <si>
    <t>Progress on resolving problems identified in the 2013/2014 Annual Report</t>
  </si>
  <si>
    <t>Conclusion</t>
  </si>
  <si>
    <t>MID-YEAR FINANCIAL PERFORMANCE REPORT ENDING 31 DECEMBER 2014</t>
  </si>
  <si>
    <t>CAPITAL PROJECTS BUDGET PERFORMANCE ASSESSMENT</t>
  </si>
  <si>
    <t>TOTAL EXPENDITURE ASSESSMENT</t>
  </si>
  <si>
    <t xml:space="preserve">Capital expenditure as at 31 December 2014 was at 30.2%. Operating expenditure was at 37.99%. The budget is way below the norm of 50% and this is caused by the challenge of not adhering to the procurement plan. </t>
  </si>
  <si>
    <t>INCOME PERFORMANCE ASSESSMENT</t>
  </si>
  <si>
    <t>The balance in the main account is too low caused by delay National Treasury to deposit funds into the municipal account. There was a challenge with the Treasury systems and the money will be deposited into the municipal account in January 2015. The Traffic account has enough funds of which R20 000 000.00 may be invested in the short term investment (Call Account) which can yield more intersts/ income to the municipality.</t>
  </si>
  <si>
    <r>
      <t>The value of the investments as at</t>
    </r>
    <r>
      <rPr>
        <b/>
        <sz val="11"/>
        <color theme="1"/>
        <rFont val="Calibri"/>
        <family val="2"/>
        <scheme val="minor"/>
      </rPr>
      <t xml:space="preserve"> 31 December 2014</t>
    </r>
    <r>
      <rPr>
        <sz val="11"/>
        <color theme="1"/>
        <rFont val="Calibri"/>
        <family val="2"/>
        <scheme val="minor"/>
      </rPr>
      <t xml:space="preserve"> amounts to </t>
    </r>
    <r>
      <rPr>
        <b/>
        <sz val="11"/>
        <color theme="1"/>
        <rFont val="Calibri"/>
        <family val="2"/>
        <scheme val="minor"/>
      </rPr>
      <t>R69 427 714</t>
    </r>
  </si>
  <si>
    <t xml:space="preserve">Expenditure on MIG budget is at 16.21% and this will improve in the 3rd Quarter when project are awarded. </t>
  </si>
  <si>
    <t>Expenditure on MSIG is at 27.04% and will improve as and when the municipality pays PWC for unbundling of assets</t>
  </si>
  <si>
    <t xml:space="preserve">This budget is seriously underspending and expenditure will improve when interns are appointed in February 2015. </t>
  </si>
  <si>
    <t xml:space="preserve">The EPWP Budget is overshooting due to non alignment of budget and number of employees hired. </t>
  </si>
  <si>
    <t>An adjustments budget for 2014/2015 will be required.</t>
  </si>
  <si>
    <r>
      <rPr>
        <b/>
        <sz val="11"/>
        <color indexed="8"/>
        <rFont val="Century Gothic"/>
        <family val="2"/>
      </rPr>
      <t xml:space="preserve">o National Government-Wide program for local government: </t>
    </r>
    <r>
      <rPr>
        <sz val="11"/>
        <color indexed="8"/>
        <rFont val="Century Gothic"/>
        <family val="2"/>
      </rPr>
      <t>the 5 YR Local Government Strategic Agenda is a national program of the government that was approved by the Cabinet Lekgotla in January 2006. The goal of the program over the medium term is accelerate basic service provision and to meet the targets set for universal access as outlined in the Vision 2014 and other targets for basic services. The goal presupposes that municipalities are effective and capable of achieving their constitutional mandates for a developmental local government. This is based on the premise that local government should have the fiscal resources and powers to recruit, absorb, and retain appropriate managerial, professional, and technical skills into their establishments. Linked to this is the assumption that the other spheres have the appropriate capacity to play their part in cooperative government and to discharge their responsibilities to monitor, support and regulate local government.</t>
    </r>
  </si>
  <si>
    <r>
      <rPr>
        <b/>
        <sz val="11"/>
        <color indexed="8"/>
        <rFont val="Century Gothic"/>
        <family val="2"/>
      </rPr>
      <t xml:space="preserve">o Executive Oversight on the implementation of the local government strategic agenda: </t>
    </r>
    <r>
      <rPr>
        <sz val="11"/>
        <color indexed="8"/>
        <rFont val="Century Gothic"/>
        <family val="2"/>
      </rPr>
      <t>The five year strategic agenda serves as a standing item in Intergovernmental forums in all spheres of government. The National Parliament and the Provincial Legislature uses the Five Year Strategic Agenda to assess the support role played by the National/ Provincial Departments in municipalities. Therefore the specific IGR structures are the Presidential Coordinating Council (PCC); the Premiers Coordinating Forum; District Coordinating Forum.</t>
    </r>
  </si>
  <si>
    <r>
      <rPr>
        <b/>
        <sz val="11"/>
        <color indexed="8"/>
        <rFont val="Century Gothic"/>
        <family val="2"/>
      </rPr>
      <t xml:space="preserve">o Government-Wide Monitoring and Evaluation: </t>
    </r>
    <r>
      <rPr>
        <sz val="11"/>
        <color indexed="8"/>
        <rFont val="Century Gothic"/>
        <family val="2"/>
      </rPr>
      <t>the monitoring and evaluation of the local government strategic agenda forms part of the Government-Wide Monitoring and Evaluation Implementation Plan.</t>
    </r>
  </si>
  <si>
    <r>
      <rPr>
        <b/>
        <sz val="11"/>
        <color indexed="8"/>
        <rFont val="Century Gothic"/>
        <family val="2"/>
      </rPr>
      <t xml:space="preserve">o National Targets: </t>
    </r>
    <r>
      <rPr>
        <sz val="11"/>
        <color indexed="8"/>
        <rFont val="Century Gothic"/>
        <family val="2"/>
      </rPr>
      <t>the implementation plan to be developed by the municipalities on the implementation of the Five Year Local Government Strategic Agenda</t>
    </r>
    <r>
      <rPr>
        <b/>
        <sz val="11"/>
        <color indexed="8"/>
        <rFont val="Century Gothic"/>
        <family val="2"/>
      </rPr>
      <t xml:space="preserve"> </t>
    </r>
    <r>
      <rPr>
        <sz val="11"/>
        <color indexed="8"/>
        <rFont val="Century Gothic"/>
        <family val="2"/>
      </rPr>
      <t xml:space="preserve">should be informed by the national targets set for the government in the VISION 2014 Manifesto as approved by Cabinet. </t>
    </r>
  </si>
  <si>
    <t xml:space="preserve">   o KPA 1: Municipal Transformation and Organisational Development</t>
  </si>
  <si>
    <r>
      <rPr>
        <b/>
        <sz val="11"/>
        <color indexed="8"/>
        <rFont val="Century Gothic"/>
        <family val="2"/>
      </rPr>
      <t xml:space="preserve">o Five Key Performance Area: </t>
    </r>
    <r>
      <rPr>
        <sz val="11"/>
        <color indexed="8"/>
        <rFont val="Century Gothic"/>
        <family val="2"/>
      </rPr>
      <t>the Local Government Strategic Agenda is structured into five Key Performance Areas, from which the targets and performance indicators are based, namely:</t>
    </r>
  </si>
  <si>
    <r>
      <t xml:space="preserve">No. of Applicable  Indicators </t>
    </r>
    <r>
      <rPr>
        <b/>
        <sz val="8"/>
        <color theme="1"/>
        <rFont val="Century Gothic"/>
        <family val="2"/>
      </rPr>
      <t>(Including projects)</t>
    </r>
  </si>
  <si>
    <t xml:space="preserve">The root cause of 30.45% performance of the municipality is mainly due to non-adherence to procurement plan. 
It is worth noting that in some instances of under-performance and delays in decision making has resulted in targets not being met. It can also be indicated that poor project management resulted in the underperformance of the capital programs. The Project Management Unit (PMU) needs to be capacitated with human resources and expertise to ensure that the municipality is not penalized for underperformance on allocations such as MIG. Poor record keeping by directorates is impacting on delays and integrity of performance information.
</t>
  </si>
  <si>
    <t>The municipality had fourty four (44) own funded rolled over projects and sixteen (16) MIG projects also rolled over. The fourty four projects which were rolled over amounts to R91 979 253.20. The sixteen MIG projects amounts to R14 316 360.47. The roll over projects will be included in the budget adjustment.  The municipality has budgeted for one hindred and four (104) projects for the current financial year on own funding amounting to R112 535 472.00. MIG projects are twenty three (23) in number with the budget of R53 440 000.00. The total budget on projects for 2014/2015 financil year is R165 675 472.00, when added to rollover amount which is R106 295 613.67; the total budget of all the projects which will be implemented this financial year is R271 971 085.70.</t>
  </si>
  <si>
    <t>The municipality is not doing well in terms of revenue collection. The municipality depends more on equitable share and grants. Should National Treasury stop funding, the municipality will not be able to sustain the services.</t>
  </si>
  <si>
    <r>
      <t xml:space="preserve">Progress on resolving problems identified in the 2013/2014 Annual Report
</t>
    </r>
    <r>
      <rPr>
        <sz val="11"/>
        <color theme="1"/>
        <rFont val="Century Gothic"/>
        <family val="2"/>
      </rPr>
      <t>The Municipality went through a rigorous auditing process during the 2013/2014 Audit conducted by the Auditor-General (AG) of South Africa and as a result, the Municipality will use the results and comments when reviewing the 2014/2015 Service Delivery Budget Implementation Plan.
In view of the fact that the 2013/2014 Annual Report has not yet been tabled during the Council meeting, and that it is still to be published, it would be premature to consider it for purposes of the assessment (Section 72(1)(a)(iii) of the MFMA).</t>
    </r>
    <r>
      <rPr>
        <b/>
        <sz val="11"/>
        <color theme="1"/>
        <rFont val="Century Gothic"/>
        <family val="2"/>
      </rPr>
      <t xml:space="preserve">
</t>
    </r>
  </si>
  <si>
    <t>The Service Delivery Budget Implementation Plan assessment displays a need for budget adjustment.</t>
  </si>
  <si>
    <t xml:space="preserve">Service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</si>
</sst>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R&quot;\ #,##0;[Red]&quot;R&quot;\ \-#,##0"/>
    <numFmt numFmtId="7" formatCode="&quot;R&quot;\ #,##0.00;&quot;R&quot;\ \-#,##0.00"/>
    <numFmt numFmtId="8" formatCode="&quot;R&quot;\ #,##0.00;[Red]&quot;R&quot;\ \-#,##0.00"/>
    <numFmt numFmtId="42" formatCode="_ &quot;R&quot;\ * #,##0_ ;_ &quot;R&quot;\ * \-#,##0_ ;_ &quot;R&quot;\ * &quot;-&quot;_ ;_ @_ "/>
    <numFmt numFmtId="41" formatCode="_ * #,##0_ ;_ * \-#,##0_ ;_ * &quot;-&quot;_ ;_ @_ "/>
    <numFmt numFmtId="44" formatCode="_ &quot;R&quot;\ * #,##0.00_ ;_ &quot;R&quot;\ * \-#,##0.00_ ;_ &quot;R&quot;\ * &quot;-&quot;??_ ;_ @_ "/>
    <numFmt numFmtId="43" formatCode="_ * #,##0.00_ ;_ * \-#,##0.00_ ;_ * &quot;-&quot;??_ ;_ @_ "/>
    <numFmt numFmtId="164" formatCode="_(&quot;$&quot;* #,##0.00_);_(&quot;$&quot;* \(#,##0.00\);_(&quot;$&quot;* &quot;-&quot;??_);_(@_)"/>
    <numFmt numFmtId="165" formatCode="_(* #,##0.00_);_(* \(#,##0.00\);_(* &quot;-&quot;??_);_(@_)"/>
    <numFmt numFmtId="166" formatCode="&quot;R&quot;\ #,##0.00"/>
    <numFmt numFmtId="167" formatCode="_ [$R-1C09]\ * #,##0.00_ ;_ [$R-1C09]\ * \-#,##0.00_ ;_ [$R-1C09]\ * &quot;-&quot;??_ ;_ @_ "/>
    <numFmt numFmtId="168" formatCode="_ * #,##0.00_ ;_ * \-#,##0.00_ ;_ * &quot;-&quot;_ ;_ @_ "/>
    <numFmt numFmtId="169" formatCode="_ &quot;R&quot;\ * #,##0_ ;_ &quot;R&quot;\ * \-#,##0_ ;_ &quot;R&quot;\ * &quot;-&quot;??_ ;_ @_ "/>
  </numFmts>
  <fonts count="75" x14ac:knownFonts="1">
    <font>
      <sz val="11"/>
      <color theme="1"/>
      <name val="Calibri"/>
      <family val="2"/>
      <scheme val="minor"/>
    </font>
    <font>
      <sz val="11"/>
      <color indexed="9"/>
      <name val="Calibri"/>
      <family val="2"/>
    </font>
    <font>
      <sz val="11"/>
      <color indexed="8"/>
      <name val="Aharoni"/>
      <charset val="177"/>
    </font>
    <font>
      <sz val="10"/>
      <name val="Arial"/>
      <family val="2"/>
    </font>
    <font>
      <b/>
      <sz val="10"/>
      <name val="Arial Narrow"/>
      <family val="2"/>
    </font>
    <font>
      <b/>
      <u/>
      <sz val="10"/>
      <name val="Arial Narrow"/>
      <family val="2"/>
    </font>
    <font>
      <b/>
      <sz val="10"/>
      <name val="Arial"/>
      <family val="2"/>
    </font>
    <font>
      <sz val="8"/>
      <name val="Arial"/>
      <family val="2"/>
    </font>
    <font>
      <sz val="11"/>
      <color theme="1"/>
      <name val="Calibri"/>
      <family val="2"/>
      <scheme val="minor"/>
    </font>
    <font>
      <sz val="8"/>
      <color rgb="FF000000"/>
      <name val="Arial"/>
      <family val="2"/>
    </font>
    <font>
      <sz val="8"/>
      <color theme="1"/>
      <name val="Arial"/>
      <family val="2"/>
    </font>
    <font>
      <b/>
      <sz val="8"/>
      <color rgb="FF000000"/>
      <name val="Arial"/>
      <family val="2"/>
    </font>
    <font>
      <sz val="11"/>
      <color theme="1"/>
      <name val="Gill Sans MT"/>
      <family val="2"/>
    </font>
    <font>
      <sz val="10"/>
      <color rgb="FF000000"/>
      <name val="Arial"/>
      <family val="2"/>
    </font>
    <font>
      <b/>
      <sz val="10"/>
      <color rgb="FF000000"/>
      <name val="Arial"/>
      <family val="2"/>
    </font>
    <font>
      <sz val="10"/>
      <color theme="1"/>
      <name val="Arial"/>
      <family val="2"/>
    </font>
    <font>
      <sz val="10"/>
      <color theme="1"/>
      <name val="Calibri"/>
      <family val="2"/>
      <scheme val="minor"/>
    </font>
    <font>
      <b/>
      <u/>
      <sz val="10"/>
      <color rgb="FF000000"/>
      <name val="Arial"/>
      <family val="2"/>
    </font>
    <font>
      <b/>
      <u/>
      <sz val="8"/>
      <color rgb="FF000000"/>
      <name val="Arial"/>
      <family val="2"/>
    </font>
    <font>
      <sz val="11"/>
      <name val="Calibri"/>
      <family val="2"/>
      <scheme val="minor"/>
    </font>
    <font>
      <sz val="9"/>
      <name val="Calibri"/>
      <family val="2"/>
      <scheme val="minor"/>
    </font>
    <font>
      <sz val="9"/>
      <color theme="1"/>
      <name val="Calibri"/>
      <family val="2"/>
      <scheme val="minor"/>
    </font>
    <font>
      <sz val="8"/>
      <color theme="1"/>
      <name val="Calibri"/>
      <family val="2"/>
      <scheme val="minor"/>
    </font>
    <font>
      <b/>
      <u/>
      <sz val="9"/>
      <color rgb="FF000000"/>
      <name val="Arial"/>
      <family val="2"/>
    </font>
    <font>
      <sz val="9"/>
      <color indexed="81"/>
      <name val="Tahoma"/>
      <family val="2"/>
    </font>
    <font>
      <b/>
      <sz val="9"/>
      <color indexed="81"/>
      <name val="Tahoma"/>
      <family val="2"/>
    </font>
    <font>
      <sz val="9"/>
      <color rgb="FF000000"/>
      <name val="Arial"/>
      <family val="2"/>
    </font>
    <font>
      <sz val="9"/>
      <name val="Arial"/>
      <family val="2"/>
    </font>
    <font>
      <sz val="9"/>
      <color theme="1"/>
      <name val="Arial"/>
      <family val="2"/>
    </font>
    <font>
      <sz val="8"/>
      <color theme="1"/>
      <name val="Cambria"/>
      <family val="1"/>
      <scheme val="major"/>
    </font>
    <font>
      <b/>
      <sz val="11"/>
      <color theme="1"/>
      <name val="Calibri"/>
      <family val="2"/>
      <scheme val="minor"/>
    </font>
    <font>
      <b/>
      <sz val="30"/>
      <color indexed="8"/>
      <name val="Arial"/>
      <family val="2"/>
    </font>
    <font>
      <b/>
      <sz val="26"/>
      <color indexed="8"/>
      <name val="Arial"/>
      <family val="2"/>
    </font>
    <font>
      <b/>
      <sz val="8"/>
      <color theme="1"/>
      <name val="Arial"/>
      <family val="2"/>
    </font>
    <font>
      <sz val="8"/>
      <name val="Calibri"/>
      <family val="2"/>
      <scheme val="minor"/>
    </font>
    <font>
      <b/>
      <sz val="8"/>
      <name val="Arial"/>
      <family val="2"/>
    </font>
    <font>
      <u/>
      <sz val="8"/>
      <color theme="1"/>
      <name val="Calibri"/>
      <family val="2"/>
      <scheme val="minor"/>
    </font>
    <font>
      <b/>
      <u val="singleAccounting"/>
      <sz val="8"/>
      <color theme="1"/>
      <name val="Calibri"/>
      <family val="2"/>
      <scheme val="minor"/>
    </font>
    <font>
      <b/>
      <u/>
      <sz val="8"/>
      <name val="Arial"/>
      <family val="2"/>
    </font>
    <font>
      <b/>
      <sz val="8"/>
      <color theme="1"/>
      <name val="Calibri"/>
      <family val="2"/>
      <scheme val="minor"/>
    </font>
    <font>
      <b/>
      <u val="singleAccounting"/>
      <sz val="8"/>
      <name val="Arial"/>
      <family val="2"/>
    </font>
    <font>
      <b/>
      <u val="singleAccounting"/>
      <sz val="9"/>
      <name val="Arial"/>
      <family val="2"/>
    </font>
    <font>
      <sz val="11"/>
      <name val="Arial"/>
      <family val="2"/>
    </font>
    <font>
      <b/>
      <u val="singleAccounting"/>
      <sz val="9"/>
      <color theme="1"/>
      <name val="Calibri"/>
      <family val="2"/>
      <scheme val="minor"/>
    </font>
    <font>
      <b/>
      <u/>
      <sz val="11"/>
      <color theme="1"/>
      <name val="Calibri"/>
      <family val="2"/>
      <scheme val="minor"/>
    </font>
    <font>
      <b/>
      <sz val="11"/>
      <color theme="1"/>
      <name val="Arial"/>
      <family val="2"/>
    </font>
    <font>
      <b/>
      <u/>
      <sz val="8"/>
      <color theme="1"/>
      <name val="Calibri"/>
      <family val="2"/>
      <scheme val="minor"/>
    </font>
    <font>
      <b/>
      <u/>
      <sz val="14"/>
      <color theme="1"/>
      <name val="Calibri"/>
      <family val="2"/>
      <scheme val="minor"/>
    </font>
    <font>
      <b/>
      <u/>
      <sz val="12"/>
      <color theme="1"/>
      <name val="Calibri"/>
      <family val="2"/>
      <scheme val="minor"/>
    </font>
    <font>
      <b/>
      <sz val="14"/>
      <color theme="1"/>
      <name val="Calibri"/>
      <family val="2"/>
      <scheme val="minor"/>
    </font>
    <font>
      <b/>
      <sz val="12"/>
      <color theme="1"/>
      <name val="Calibri"/>
      <family val="2"/>
      <scheme val="minor"/>
    </font>
    <font>
      <b/>
      <u val="singleAccounting"/>
      <sz val="11"/>
      <color theme="1"/>
      <name val="Calibri"/>
      <family val="2"/>
      <scheme val="minor"/>
    </font>
    <font>
      <u val="singleAccounting"/>
      <sz val="12"/>
      <color theme="1"/>
      <name val="Calibri"/>
      <family val="2"/>
      <scheme val="minor"/>
    </font>
    <font>
      <u val="singleAccounting"/>
      <sz val="11"/>
      <color theme="1"/>
      <name val="Calibri"/>
      <family val="2"/>
      <scheme val="minor"/>
    </font>
    <font>
      <sz val="12"/>
      <color theme="1"/>
      <name val="Century Gothic"/>
      <family val="2"/>
    </font>
    <font>
      <sz val="11"/>
      <color theme="1"/>
      <name val="Century Gothic"/>
      <family val="2"/>
    </font>
    <font>
      <b/>
      <sz val="7"/>
      <color theme="1"/>
      <name val="Times New Roman"/>
      <family val="1"/>
    </font>
    <font>
      <sz val="12"/>
      <color rgb="FF000000"/>
      <name val="Century Gothic"/>
      <family val="2"/>
    </font>
    <font>
      <b/>
      <sz val="14"/>
      <color indexed="8"/>
      <name val="Calibri"/>
      <family val="2"/>
    </font>
    <font>
      <sz val="10"/>
      <color indexed="8"/>
      <name val="Calibri"/>
      <family val="2"/>
    </font>
    <font>
      <sz val="10"/>
      <color theme="1"/>
      <name val="Century Gothic"/>
      <family val="2"/>
    </font>
    <font>
      <b/>
      <u/>
      <sz val="11"/>
      <color theme="1"/>
      <name val="Century Gothic"/>
      <family val="2"/>
    </font>
    <font>
      <u/>
      <sz val="11"/>
      <color theme="1"/>
      <name val="Calibri"/>
      <family val="2"/>
      <scheme val="minor"/>
    </font>
    <font>
      <b/>
      <sz val="8"/>
      <color theme="1"/>
      <name val="Century Gothic"/>
      <family val="2"/>
    </font>
    <font>
      <b/>
      <sz val="10"/>
      <color rgb="FF000000"/>
      <name val="Century Gothic"/>
      <family val="2"/>
    </font>
    <font>
      <b/>
      <sz val="11"/>
      <color theme="1"/>
      <name val="Century Gothic"/>
      <family val="2"/>
    </font>
    <font>
      <b/>
      <sz val="11"/>
      <color rgb="FF000000"/>
      <name val="Century Gothic"/>
      <family val="2"/>
    </font>
    <font>
      <sz val="11"/>
      <color indexed="8"/>
      <name val="Century Gothic"/>
      <family val="2"/>
    </font>
    <font>
      <b/>
      <sz val="11"/>
      <color indexed="8"/>
      <name val="Century Gothic"/>
      <family val="2"/>
    </font>
    <font>
      <sz val="11"/>
      <color rgb="FF000000"/>
      <name val="Century Gothic"/>
      <family val="2"/>
    </font>
    <font>
      <b/>
      <sz val="11"/>
      <name val="Century Gothic"/>
      <family val="2"/>
    </font>
    <font>
      <sz val="10"/>
      <name val="Century Gothic"/>
      <family val="2"/>
    </font>
    <font>
      <b/>
      <sz val="10"/>
      <name val="Century Gothic"/>
      <family val="2"/>
    </font>
    <font>
      <sz val="10"/>
      <color rgb="FFFF0000"/>
      <name val="Century Gothic"/>
      <family val="2"/>
    </font>
    <font>
      <b/>
      <sz val="14"/>
      <color theme="1"/>
      <name val="Century Gothic"/>
      <family val="2"/>
    </font>
  </fonts>
  <fills count="15">
    <fill>
      <patternFill patternType="none"/>
    </fill>
    <fill>
      <patternFill patternType="gray125"/>
    </fill>
    <fill>
      <patternFill patternType="solid">
        <fgColor indexed="57"/>
        <bgColor indexed="10"/>
      </patternFill>
    </fill>
    <fill>
      <patternFill patternType="solid">
        <fgColor theme="3" tint="0.39997558519241921"/>
        <bgColor indexed="64"/>
      </patternFill>
    </fill>
    <fill>
      <patternFill patternType="solid">
        <fgColor theme="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99"/>
        <bgColor indexed="64"/>
      </patternFill>
    </fill>
    <fill>
      <patternFill patternType="solid">
        <fgColor theme="6" tint="0.79998168889431442"/>
        <bgColor indexed="64"/>
      </patternFill>
    </fill>
  </fills>
  <borders count="59">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0D0D0D"/>
      </left>
      <right style="double">
        <color rgb="FF0D0D0D"/>
      </right>
      <top style="double">
        <color rgb="FF0D0D0D"/>
      </top>
      <bottom style="double">
        <color rgb="FF0D0D0D"/>
      </bottom>
      <diagonal/>
    </border>
    <border>
      <left style="double">
        <color rgb="FF0D0D0D"/>
      </left>
      <right/>
      <top style="double">
        <color rgb="FF0D0D0D"/>
      </top>
      <bottom/>
      <diagonal/>
    </border>
    <border>
      <left style="double">
        <color rgb="FF0D0D0D"/>
      </left>
      <right style="double">
        <color rgb="FF0D0D0D"/>
      </right>
      <top/>
      <bottom style="double">
        <color rgb="FF0D0D0D"/>
      </bottom>
      <diagonal/>
    </border>
    <border>
      <left style="double">
        <color rgb="FF0D0D0D"/>
      </left>
      <right/>
      <top/>
      <bottom style="double">
        <color rgb="FF0D0D0D"/>
      </bottom>
      <diagonal/>
    </border>
    <border>
      <left/>
      <right/>
      <top style="double">
        <color rgb="FF0D0D0D"/>
      </top>
      <bottom/>
      <diagonal/>
    </border>
    <border>
      <left/>
      <right style="double">
        <color rgb="FF0D0D0D"/>
      </right>
      <top style="double">
        <color rgb="FF0D0D0D"/>
      </top>
      <bottom/>
      <diagonal/>
    </border>
    <border>
      <left style="double">
        <color rgb="FF0D0D0D"/>
      </left>
      <right/>
      <top/>
      <bottom/>
      <diagonal/>
    </border>
    <border>
      <left/>
      <right style="double">
        <color rgb="FF0D0D0D"/>
      </right>
      <top/>
      <bottom/>
      <diagonal/>
    </border>
    <border>
      <left/>
      <right/>
      <top/>
      <bottom style="double">
        <color rgb="FF0D0D0D"/>
      </bottom>
      <diagonal/>
    </border>
    <border>
      <left/>
      <right style="double">
        <color rgb="FF0D0D0D"/>
      </right>
      <top/>
      <bottom style="double">
        <color rgb="FF0D0D0D"/>
      </bottom>
      <diagonal/>
    </border>
    <border>
      <left style="double">
        <color auto="1"/>
      </left>
      <right style="double">
        <color auto="1"/>
      </right>
      <top style="double">
        <color auto="1"/>
      </top>
      <bottom style="double">
        <color auto="1"/>
      </bottom>
      <diagonal/>
    </border>
    <border>
      <left style="medium">
        <color indexed="64"/>
      </left>
      <right style="medium">
        <color indexed="64"/>
      </right>
      <top/>
      <bottom style="medium">
        <color indexed="64"/>
      </bottom>
      <diagonal/>
    </border>
    <border>
      <left style="double">
        <color rgb="FF0D0D0D"/>
      </left>
      <right style="double">
        <color rgb="FF0D0D0D"/>
      </right>
      <top style="double">
        <color rgb="FF0D0D0D"/>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rgb="FF0D0D0D"/>
      </left>
      <right style="double">
        <color auto="1"/>
      </right>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indexed="64"/>
      </right>
      <top/>
      <bottom style="double">
        <color auto="1"/>
      </bottom>
      <diagonal/>
    </border>
    <border>
      <left style="double">
        <color indexed="64"/>
      </left>
      <right style="double">
        <color indexed="64"/>
      </right>
      <top/>
      <bottom/>
      <diagonal/>
    </border>
    <border>
      <left style="double">
        <color rgb="FF0D0D0D"/>
      </left>
      <right/>
      <top style="double">
        <color rgb="FF0D0D0D"/>
      </top>
      <bottom style="double">
        <color rgb="FF0D0D0D"/>
      </bottom>
      <diagonal/>
    </border>
    <border>
      <left/>
      <right/>
      <top style="double">
        <color rgb="FF0D0D0D"/>
      </top>
      <bottom style="double">
        <color rgb="FF0D0D0D"/>
      </bottom>
      <diagonal/>
    </border>
    <border>
      <left/>
      <right style="double">
        <color rgb="FF0D0D0D"/>
      </right>
      <top style="double">
        <color rgb="FF0D0D0D"/>
      </top>
      <bottom style="double">
        <color rgb="FF0D0D0D"/>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uble">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84">
    <xf numFmtId="0" fontId="0" fillId="0" borderId="0"/>
    <xf numFmtId="0" fontId="1" fillId="2" borderId="0" applyNumberFormat="0" applyBorder="0" applyAlignment="0" applyProtection="0"/>
    <xf numFmtId="0" fontId="1" fillId="2" borderId="0" applyNumberFormat="0" applyBorder="0" applyAlignment="0" applyProtection="0"/>
    <xf numFmtId="43" fontId="8" fillId="0" borderId="0" applyFont="0" applyFill="0" applyBorder="0" applyAlignment="0" applyProtection="0"/>
    <xf numFmtId="43" fontId="2"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603">
    <xf numFmtId="0" fontId="0" fillId="0" borderId="0" xfId="0"/>
    <xf numFmtId="0" fontId="0" fillId="3" borderId="0" xfId="0" applyFill="1"/>
    <xf numFmtId="0" fontId="0" fillId="0" borderId="0" xfId="0" applyFont="1"/>
    <xf numFmtId="0" fontId="9" fillId="5" borderId="5" xfId="0" applyFont="1" applyFill="1" applyBorder="1" applyAlignment="1">
      <alignment vertical="top" wrapText="1"/>
    </xf>
    <xf numFmtId="0" fontId="9" fillId="0" borderId="5" xfId="0" applyFont="1" applyBorder="1" applyAlignment="1">
      <alignment horizontal="center" vertical="top" wrapText="1"/>
    </xf>
    <xf numFmtId="9" fontId="9" fillId="0" borderId="5" xfId="0" applyNumberFormat="1" applyFont="1" applyBorder="1" applyAlignment="1">
      <alignment horizontal="center" vertical="top" wrapText="1"/>
    </xf>
    <xf numFmtId="0" fontId="9" fillId="0" borderId="5" xfId="0" applyFont="1" applyBorder="1" applyAlignment="1">
      <alignment vertical="top" wrapText="1"/>
    </xf>
    <xf numFmtId="9" fontId="9" fillId="0" borderId="5" xfId="0" applyNumberFormat="1" applyFont="1" applyBorder="1" applyAlignment="1">
      <alignment vertical="top" wrapText="1"/>
    </xf>
    <xf numFmtId="0" fontId="10" fillId="0" borderId="5" xfId="0" applyFont="1" applyBorder="1" applyAlignment="1">
      <alignment vertical="top" wrapText="1"/>
    </xf>
    <xf numFmtId="0" fontId="0" fillId="0" borderId="0" xfId="0" applyAlignment="1">
      <alignment horizontal="center"/>
    </xf>
    <xf numFmtId="0" fontId="11" fillId="6" borderId="5" xfId="0" applyFont="1" applyFill="1" applyBorder="1" applyAlignment="1">
      <alignment vertical="top" wrapText="1"/>
    </xf>
    <xf numFmtId="0" fontId="12" fillId="3" borderId="0" xfId="0" applyFont="1" applyFill="1"/>
    <xf numFmtId="0" fontId="0" fillId="7" borderId="0" xfId="0" applyFill="1"/>
    <xf numFmtId="0" fontId="0" fillId="8" borderId="0" xfId="0" applyFill="1"/>
    <xf numFmtId="0" fontId="0" fillId="0" borderId="0" xfId="0" applyAlignment="1">
      <alignment vertical="top"/>
    </xf>
    <xf numFmtId="0" fontId="3" fillId="0" borderId="1" xfId="0" applyFont="1" applyFill="1" applyBorder="1" applyAlignment="1">
      <alignment horizontal="left" vertical="top" wrapText="1"/>
    </xf>
    <xf numFmtId="9" fontId="3" fillId="0" borderId="1" xfId="50" applyNumberFormat="1" applyFont="1" applyFill="1" applyBorder="1" applyAlignment="1">
      <alignment horizontal="left" vertical="top" wrapText="1"/>
    </xf>
    <xf numFmtId="0" fontId="3" fillId="0" borderId="1" xfId="50" applyFont="1" applyFill="1" applyBorder="1" applyAlignment="1">
      <alignment vertical="top" wrapText="1"/>
    </xf>
    <xf numFmtId="0" fontId="13" fillId="0" borderId="1" xfId="0" applyFont="1" applyFill="1" applyBorder="1" applyAlignment="1">
      <alignment vertical="top" wrapText="1"/>
    </xf>
    <xf numFmtId="0" fontId="14" fillId="7" borderId="5" xfId="0" applyFont="1" applyFill="1" applyBorder="1" applyAlignment="1">
      <alignment horizontal="center" vertical="top" wrapText="1"/>
    </xf>
    <xf numFmtId="0" fontId="13" fillId="0" borderId="1" xfId="0" applyFont="1" applyBorder="1" applyAlignment="1">
      <alignment vertical="top" wrapText="1"/>
    </xf>
    <xf numFmtId="0" fontId="13" fillId="0" borderId="1" xfId="0" applyFont="1" applyBorder="1" applyAlignment="1">
      <alignment horizontal="center" vertical="top" wrapText="1"/>
    </xf>
    <xf numFmtId="0" fontId="14" fillId="7" borderId="5" xfId="0" applyFont="1" applyFill="1" applyBorder="1" applyAlignment="1">
      <alignment vertical="top" wrapText="1"/>
    </xf>
    <xf numFmtId="0" fontId="0" fillId="0" borderId="0" xfId="0"/>
    <xf numFmtId="0" fontId="9" fillId="0" borderId="1" xfId="0" applyFont="1" applyBorder="1" applyAlignment="1">
      <alignment vertical="top" wrapText="1"/>
    </xf>
    <xf numFmtId="0" fontId="0" fillId="0" borderId="0" xfId="0" applyAlignment="1">
      <alignment horizontal="center"/>
    </xf>
    <xf numFmtId="0" fontId="15" fillId="0" borderId="1" xfId="0" applyFont="1" applyBorder="1" applyAlignment="1">
      <alignment vertical="top" wrapText="1"/>
    </xf>
    <xf numFmtId="0" fontId="9" fillId="0" borderId="0" xfId="0" applyFont="1" applyBorder="1" applyAlignment="1">
      <alignment horizontal="center" vertical="top" wrapText="1"/>
    </xf>
    <xf numFmtId="0" fontId="9" fillId="0" borderId="0" xfId="0" applyFont="1" applyBorder="1" applyAlignment="1">
      <alignment vertical="top" wrapText="1"/>
    </xf>
    <xf numFmtId="0" fontId="0" fillId="0" borderId="0" xfId="0" applyBorder="1"/>
    <xf numFmtId="0" fontId="9" fillId="0" borderId="1" xfId="0" applyFont="1" applyBorder="1" applyAlignment="1">
      <alignment vertical="top" wrapText="1"/>
    </xf>
    <xf numFmtId="0" fontId="9" fillId="0" borderId="1" xfId="0" applyFont="1" applyBorder="1" applyAlignment="1">
      <alignment horizontal="center" vertical="top" wrapText="1"/>
    </xf>
    <xf numFmtId="9" fontId="3" fillId="0" borderId="0" xfId="50" applyNumberFormat="1" applyFont="1" applyFill="1" applyBorder="1" applyAlignment="1">
      <alignment horizontal="left" vertical="top" wrapText="1"/>
    </xf>
    <xf numFmtId="0" fontId="13" fillId="0" borderId="0" xfId="0" applyFont="1" applyBorder="1" applyAlignment="1">
      <alignment horizontal="center" vertical="top" wrapText="1"/>
    </xf>
    <xf numFmtId="0" fontId="13" fillId="0" borderId="0" xfId="0" applyFont="1" applyBorder="1" applyAlignment="1">
      <alignment vertical="top" wrapText="1"/>
    </xf>
    <xf numFmtId="0" fontId="3" fillId="0" borderId="0" xfId="50" applyFont="1" applyFill="1" applyBorder="1" applyAlignment="1">
      <alignment vertical="top" wrapText="1"/>
    </xf>
    <xf numFmtId="0" fontId="13" fillId="0" borderId="0" xfId="0" applyFont="1" applyFill="1" applyBorder="1" applyAlignment="1">
      <alignment vertical="top" wrapText="1"/>
    </xf>
    <xf numFmtId="0" fontId="3" fillId="8" borderId="1" xfId="0" applyFont="1" applyFill="1" applyBorder="1" applyAlignment="1">
      <alignment horizontal="center" vertical="top" wrapText="1"/>
    </xf>
    <xf numFmtId="0" fontId="16" fillId="0" borderId="0" xfId="0" applyFont="1"/>
    <xf numFmtId="4" fontId="13" fillId="0" borderId="1" xfId="0" applyNumberFormat="1" applyFont="1" applyBorder="1" applyAlignment="1">
      <alignment horizontal="center" vertical="top" wrapText="1"/>
    </xf>
    <xf numFmtId="0" fontId="16" fillId="0" borderId="0" xfId="0" applyFont="1" applyAlignment="1">
      <alignment horizontal="center"/>
    </xf>
    <xf numFmtId="0" fontId="0" fillId="0" borderId="0" xfId="0" applyAlignment="1">
      <alignment horizontal="left"/>
    </xf>
    <xf numFmtId="0" fontId="7" fillId="0" borderId="5" xfId="0" applyFont="1" applyBorder="1" applyAlignment="1">
      <alignment vertical="top" wrapText="1"/>
    </xf>
    <xf numFmtId="0" fontId="7" fillId="0" borderId="5" xfId="0" applyFont="1" applyBorder="1" applyAlignment="1">
      <alignment horizontal="center" vertical="top" wrapText="1"/>
    </xf>
    <xf numFmtId="0" fontId="7" fillId="8" borderId="5" xfId="0" applyFont="1" applyFill="1" applyBorder="1" applyAlignment="1">
      <alignment horizontal="center" vertical="top" wrapText="1"/>
    </xf>
    <xf numFmtId="0" fontId="7" fillId="8" borderId="5" xfId="0" applyFont="1" applyFill="1" applyBorder="1" applyAlignment="1">
      <alignment vertical="top" wrapText="1"/>
    </xf>
    <xf numFmtId="0" fontId="19" fillId="9" borderId="0" xfId="0" applyFont="1" applyFill="1"/>
    <xf numFmtId="9" fontId="7" fillId="0" borderId="5" xfId="0" applyNumberFormat="1" applyFont="1" applyBorder="1" applyAlignment="1">
      <alignment vertical="top" wrapText="1"/>
    </xf>
    <xf numFmtId="0" fontId="19" fillId="0" borderId="0" xfId="0" applyFont="1"/>
    <xf numFmtId="0" fontId="7" fillId="0" borderId="0" xfId="0" applyFont="1" applyBorder="1" applyAlignment="1">
      <alignment horizontal="center" vertical="top" wrapText="1"/>
    </xf>
    <xf numFmtId="0" fontId="7" fillId="0" borderId="0" xfId="0" applyFont="1" applyBorder="1" applyAlignment="1">
      <alignment vertical="top" wrapText="1"/>
    </xf>
    <xf numFmtId="0" fontId="19" fillId="0" borderId="0" xfId="0" applyFont="1" applyBorder="1"/>
    <xf numFmtId="4" fontId="0" fillId="0" borderId="0" xfId="0" applyNumberFormat="1" applyAlignment="1">
      <alignment horizontal="center"/>
    </xf>
    <xf numFmtId="0" fontId="19" fillId="8" borderId="0" xfId="0" applyFont="1" applyFill="1"/>
    <xf numFmtId="0" fontId="3" fillId="0" borderId="1" xfId="0" applyFont="1" applyBorder="1" applyAlignment="1">
      <alignment horizontal="center" vertical="top" wrapText="1"/>
    </xf>
    <xf numFmtId="0" fontId="3" fillId="0" borderId="1" xfId="0" applyFont="1" applyBorder="1" applyAlignment="1">
      <alignment vertical="top" wrapText="1"/>
    </xf>
    <xf numFmtId="0" fontId="10" fillId="0" borderId="1" xfId="0" applyFont="1" applyBorder="1" applyAlignment="1">
      <alignment horizontal="center" vertical="top" wrapText="1"/>
    </xf>
    <xf numFmtId="0" fontId="10" fillId="5" borderId="5" xfId="0" applyFont="1" applyFill="1" applyBorder="1" applyAlignment="1">
      <alignment vertical="top" wrapText="1"/>
    </xf>
    <xf numFmtId="9" fontId="10" fillId="0" borderId="5" xfId="0" applyNumberFormat="1" applyFont="1" applyBorder="1" applyAlignment="1">
      <alignment horizontal="center" vertical="top" wrapText="1"/>
    </xf>
    <xf numFmtId="0" fontId="10" fillId="0" borderId="5" xfId="0" applyFont="1" applyBorder="1" applyAlignment="1">
      <alignment horizontal="center" vertical="top" wrapText="1"/>
    </xf>
    <xf numFmtId="4" fontId="9" fillId="0" borderId="5" xfId="0" applyNumberFormat="1" applyFont="1" applyBorder="1" applyAlignment="1">
      <alignment vertical="top" wrapText="1"/>
    </xf>
    <xf numFmtId="4" fontId="10" fillId="0" borderId="5" xfId="0" applyNumberFormat="1" applyFont="1" applyBorder="1" applyAlignment="1">
      <alignment horizontal="center" vertical="top" wrapText="1"/>
    </xf>
    <xf numFmtId="4" fontId="9" fillId="0" borderId="5" xfId="0" applyNumberFormat="1" applyFont="1" applyBorder="1" applyAlignment="1">
      <alignment horizontal="center" vertical="top" wrapText="1"/>
    </xf>
    <xf numFmtId="4" fontId="0" fillId="0" borderId="0" xfId="0" applyNumberFormat="1"/>
    <xf numFmtId="4" fontId="13" fillId="0" borderId="0" xfId="0" applyNumberFormat="1" applyFont="1" applyBorder="1" applyAlignment="1">
      <alignment horizontal="center" vertical="top" wrapText="1"/>
    </xf>
    <xf numFmtId="0" fontId="3" fillId="0" borderId="1" xfId="0" applyFont="1" applyFill="1" applyBorder="1" applyAlignment="1">
      <alignment vertical="top" wrapText="1"/>
    </xf>
    <xf numFmtId="0" fontId="7" fillId="0" borderId="1" xfId="0" applyFont="1" applyBorder="1" applyAlignment="1">
      <alignment vertical="top" wrapText="1"/>
    </xf>
    <xf numFmtId="0" fontId="15" fillId="0" borderId="1" xfId="0" applyFont="1" applyBorder="1" applyAlignment="1">
      <alignment horizontal="center" vertical="top" wrapText="1"/>
    </xf>
    <xf numFmtId="0" fontId="15" fillId="0" borderId="1" xfId="50" applyFont="1" applyFill="1" applyBorder="1" applyAlignment="1">
      <alignment vertical="top" wrapText="1"/>
    </xf>
    <xf numFmtId="9" fontId="15" fillId="0" borderId="1" xfId="50" applyNumberFormat="1" applyFont="1" applyFill="1" applyBorder="1" applyAlignment="1">
      <alignment horizontal="left" vertical="top" wrapText="1"/>
    </xf>
    <xf numFmtId="0" fontId="15" fillId="0" borderId="1" xfId="0" applyFont="1" applyFill="1" applyBorder="1" applyAlignment="1">
      <alignment vertical="top" wrapText="1"/>
    </xf>
    <xf numFmtId="0" fontId="15" fillId="0" borderId="1" xfId="0" applyFont="1" applyFill="1" applyBorder="1" applyAlignment="1">
      <alignment horizontal="left" vertical="top" wrapText="1"/>
    </xf>
    <xf numFmtId="0" fontId="10" fillId="0" borderId="1" xfId="0" applyFont="1" applyBorder="1" applyAlignment="1">
      <alignment vertical="top" wrapText="1"/>
    </xf>
    <xf numFmtId="4" fontId="14" fillId="7" borderId="5" xfId="0" applyNumberFormat="1" applyFont="1" applyFill="1" applyBorder="1" applyAlignment="1">
      <alignment horizontal="center" vertical="top" wrapText="1"/>
    </xf>
    <xf numFmtId="0" fontId="3" fillId="8" borderId="1" xfId="0" applyFont="1" applyFill="1" applyBorder="1" applyAlignment="1">
      <alignment vertical="top" wrapText="1"/>
    </xf>
    <xf numFmtId="0" fontId="7" fillId="0" borderId="5" xfId="0" applyFont="1" applyBorder="1" applyAlignment="1">
      <alignment horizontal="left" vertical="top" wrapText="1"/>
    </xf>
    <xf numFmtId="9" fontId="7" fillId="0" borderId="5" xfId="0" applyNumberFormat="1" applyFont="1" applyBorder="1" applyAlignment="1">
      <alignment horizontal="center" vertical="top" wrapText="1"/>
    </xf>
    <xf numFmtId="0" fontId="21" fillId="0" borderId="0" xfId="0" applyFont="1"/>
    <xf numFmtId="0" fontId="11" fillId="7" borderId="5" xfId="0" applyFont="1" applyFill="1" applyBorder="1" applyAlignment="1">
      <alignment horizontal="center" vertical="top" wrapText="1"/>
    </xf>
    <xf numFmtId="0" fontId="11" fillId="7" borderId="5" xfId="0" applyFont="1" applyFill="1" applyBorder="1" applyAlignment="1">
      <alignment vertical="top" wrapText="1"/>
    </xf>
    <xf numFmtId="4" fontId="11" fillId="7" borderId="5" xfId="0" applyNumberFormat="1" applyFont="1" applyFill="1" applyBorder="1" applyAlignment="1">
      <alignment horizontal="center" vertical="top" wrapText="1"/>
    </xf>
    <xf numFmtId="0" fontId="22" fillId="0" borderId="0" xfId="0" applyFont="1"/>
    <xf numFmtId="0" fontId="20" fillId="0" borderId="5" xfId="0" applyFont="1" applyBorder="1" applyAlignment="1">
      <alignment vertical="top"/>
    </xf>
    <xf numFmtId="4" fontId="11" fillId="7" borderId="5" xfId="0" applyNumberFormat="1" applyFont="1" applyFill="1" applyBorder="1" applyAlignment="1">
      <alignment vertical="top" wrapText="1"/>
    </xf>
    <xf numFmtId="0" fontId="13" fillId="8" borderId="15" xfId="0" applyFont="1" applyFill="1" applyBorder="1" applyAlignment="1">
      <alignment vertical="top" wrapText="1"/>
    </xf>
    <xf numFmtId="4" fontId="19" fillId="0" borderId="0" xfId="0" applyNumberFormat="1" applyFont="1" applyFill="1" applyAlignment="1">
      <alignment horizontal="center" vertical="center"/>
    </xf>
    <xf numFmtId="4" fontId="0" fillId="0" borderId="0" xfId="0" applyNumberFormat="1" applyAlignment="1">
      <alignment horizontal="center" vertical="center"/>
    </xf>
    <xf numFmtId="3" fontId="15" fillId="8" borderId="15" xfId="0" applyNumberFormat="1" applyFont="1" applyFill="1" applyBorder="1" applyAlignment="1">
      <alignment horizontal="center" vertical="top" wrapText="1"/>
    </xf>
    <xf numFmtId="3" fontId="0" fillId="0" borderId="0" xfId="0" applyNumberFormat="1" applyAlignment="1">
      <alignment horizontal="center"/>
    </xf>
    <xf numFmtId="0" fontId="7" fillId="8" borderId="5" xfId="0" applyFont="1" applyFill="1" applyBorder="1" applyAlignment="1">
      <alignment horizontal="left" vertical="top" wrapText="1"/>
    </xf>
    <xf numFmtId="9" fontId="7" fillId="8" borderId="5" xfId="0" applyNumberFormat="1" applyFont="1" applyFill="1" applyBorder="1" applyAlignment="1">
      <alignment horizontal="center" vertical="top" wrapText="1"/>
    </xf>
    <xf numFmtId="0" fontId="9" fillId="8" borderId="5" xfId="0" applyFont="1" applyFill="1" applyBorder="1" applyAlignment="1">
      <alignment vertical="top" wrapText="1"/>
    </xf>
    <xf numFmtId="0" fontId="9" fillId="8" borderId="15" xfId="0" applyFont="1" applyFill="1" applyBorder="1" applyAlignment="1">
      <alignment vertical="top" wrapText="1"/>
    </xf>
    <xf numFmtId="0" fontId="19" fillId="8" borderId="0" xfId="0" applyFont="1" applyFill="1" applyBorder="1"/>
    <xf numFmtId="0" fontId="0" fillId="11" borderId="0" xfId="0" applyFill="1"/>
    <xf numFmtId="0" fontId="16" fillId="11" borderId="0" xfId="0" applyFont="1" applyFill="1"/>
    <xf numFmtId="0" fontId="0" fillId="12" borderId="0" xfId="0" applyFill="1"/>
    <xf numFmtId="0" fontId="19" fillId="11" borderId="0" xfId="0" applyFont="1" applyFill="1"/>
    <xf numFmtId="0" fontId="13" fillId="8" borderId="15" xfId="0" applyFont="1" applyFill="1" applyBorder="1" applyAlignment="1">
      <alignment horizontal="center" vertical="top" wrapText="1"/>
    </xf>
    <xf numFmtId="0" fontId="15" fillId="8" borderId="15" xfId="0" applyFont="1" applyFill="1" applyBorder="1" applyAlignment="1">
      <alignment vertical="top" wrapText="1"/>
    </xf>
    <xf numFmtId="4" fontId="13" fillId="8" borderId="15" xfId="0" applyNumberFormat="1" applyFont="1" applyFill="1" applyBorder="1" applyAlignment="1">
      <alignment horizontal="center" vertical="top" wrapText="1"/>
    </xf>
    <xf numFmtId="0" fontId="13" fillId="8" borderId="19" xfId="0" applyFont="1" applyFill="1" applyBorder="1" applyAlignment="1">
      <alignment vertical="top" wrapText="1"/>
    </xf>
    <xf numFmtId="0" fontId="3" fillId="8" borderId="15" xfId="0" applyFont="1" applyFill="1" applyBorder="1" applyAlignment="1">
      <alignment vertical="top" wrapText="1"/>
    </xf>
    <xf numFmtId="3" fontId="3" fillId="8" borderId="15" xfId="0" applyNumberFormat="1" applyFont="1" applyFill="1" applyBorder="1" applyAlignment="1">
      <alignment vertical="top" wrapText="1"/>
    </xf>
    <xf numFmtId="0" fontId="13" fillId="8" borderId="18" xfId="0" applyFont="1" applyFill="1" applyBorder="1" applyAlignment="1">
      <alignment horizontal="center" vertical="top" wrapText="1"/>
    </xf>
    <xf numFmtId="0" fontId="13" fillId="8" borderId="1" xfId="0" applyFont="1" applyFill="1" applyBorder="1" applyAlignment="1">
      <alignment vertical="top" wrapText="1"/>
    </xf>
    <xf numFmtId="0" fontId="3" fillId="8" borderId="1" xfId="0" applyFont="1" applyFill="1" applyBorder="1" applyAlignment="1">
      <alignment horizontal="left" vertical="top" wrapText="1"/>
    </xf>
    <xf numFmtId="0" fontId="13" fillId="8" borderId="1" xfId="0" applyFont="1" applyFill="1" applyBorder="1" applyAlignment="1">
      <alignment horizontal="center" vertical="top" wrapText="1"/>
    </xf>
    <xf numFmtId="0" fontId="3" fillId="8" borderId="15" xfId="50" applyFont="1" applyFill="1" applyBorder="1" applyAlignment="1">
      <alignment vertical="top" wrapText="1"/>
    </xf>
    <xf numFmtId="9" fontId="3" fillId="8" borderId="15" xfId="50" applyNumberFormat="1" applyFont="1" applyFill="1" applyBorder="1" applyAlignment="1">
      <alignment horizontal="left" vertical="top" wrapText="1"/>
    </xf>
    <xf numFmtId="0" fontId="3" fillId="8" borderId="15" xfId="0" applyFont="1" applyFill="1" applyBorder="1" applyAlignment="1">
      <alignment horizontal="left" vertical="top" wrapText="1"/>
    </xf>
    <xf numFmtId="0" fontId="16" fillId="8" borderId="0" xfId="0" applyFont="1" applyFill="1" applyAlignment="1">
      <alignment horizontal="center"/>
    </xf>
    <xf numFmtId="0" fontId="16" fillId="8" borderId="0" xfId="0" applyFont="1" applyFill="1"/>
    <xf numFmtId="3" fontId="13" fillId="8" borderId="1" xfId="0" applyNumberFormat="1" applyFont="1" applyFill="1" applyBorder="1" applyAlignment="1">
      <alignment horizontal="center" vertical="top" wrapText="1"/>
    </xf>
    <xf numFmtId="0" fontId="13" fillId="8" borderId="20" xfId="0" applyFont="1" applyFill="1" applyBorder="1" applyAlignment="1">
      <alignment vertical="top" wrapText="1"/>
    </xf>
    <xf numFmtId="0" fontId="13" fillId="8" borderId="7" xfId="0" applyFont="1" applyFill="1" applyBorder="1" applyAlignment="1">
      <alignment vertical="top" wrapText="1"/>
    </xf>
    <xf numFmtId="0" fontId="16" fillId="8" borderId="21" xfId="0" applyFont="1" applyFill="1" applyBorder="1" applyAlignment="1">
      <alignment horizontal="justify" vertical="top" wrapText="1"/>
    </xf>
    <xf numFmtId="3" fontId="13" fillId="8" borderId="1" xfId="0" applyNumberFormat="1" applyFont="1" applyFill="1" applyBorder="1" applyAlignment="1">
      <alignment horizontal="center" vertical="center" wrapText="1"/>
    </xf>
    <xf numFmtId="0" fontId="16" fillId="8" borderId="16" xfId="0" applyFont="1" applyFill="1" applyBorder="1" applyAlignment="1">
      <alignment horizontal="justify" vertical="top" wrapText="1"/>
    </xf>
    <xf numFmtId="6" fontId="13" fillId="8" borderId="1" xfId="0" applyNumberFormat="1" applyFont="1" applyFill="1" applyBorder="1" applyAlignment="1">
      <alignment horizontal="center" vertical="top" wrapText="1"/>
    </xf>
    <xf numFmtId="0" fontId="3" fillId="8" borderId="22" xfId="0" applyFont="1" applyFill="1" applyBorder="1" applyAlignment="1">
      <alignment vertical="top" wrapText="1"/>
    </xf>
    <xf numFmtId="0" fontId="13" fillId="8" borderId="22" xfId="0" applyFont="1" applyFill="1" applyBorder="1" applyAlignment="1">
      <alignment vertical="top" wrapText="1"/>
    </xf>
    <xf numFmtId="0" fontId="3" fillId="8" borderId="22" xfId="0" applyFont="1" applyFill="1" applyBorder="1" applyAlignment="1">
      <alignment horizontal="left" vertical="top" wrapText="1"/>
    </xf>
    <xf numFmtId="0" fontId="0" fillId="8" borderId="22" xfId="0" applyFill="1" applyBorder="1"/>
    <xf numFmtId="3" fontId="3" fillId="8" borderId="22" xfId="0" applyNumberFormat="1" applyFont="1" applyFill="1" applyBorder="1" applyAlignment="1">
      <alignment vertical="top" wrapText="1"/>
    </xf>
    <xf numFmtId="0" fontId="15" fillId="8" borderId="22" xfId="0" applyFont="1" applyFill="1" applyBorder="1" applyAlignment="1">
      <alignment vertical="top" wrapText="1"/>
    </xf>
    <xf numFmtId="0" fontId="13" fillId="8" borderId="22" xfId="0" applyFont="1" applyFill="1" applyBorder="1" applyAlignment="1">
      <alignment horizontal="center" vertical="top" wrapText="1"/>
    </xf>
    <xf numFmtId="14" fontId="13" fillId="8" borderId="1" xfId="0" applyNumberFormat="1" applyFont="1" applyFill="1" applyBorder="1" applyAlignment="1">
      <alignment vertical="top" wrapText="1"/>
    </xf>
    <xf numFmtId="4" fontId="13" fillId="8" borderId="22" xfId="0" applyNumberFormat="1" applyFont="1" applyFill="1" applyBorder="1" applyAlignment="1">
      <alignment vertical="top" wrapText="1"/>
    </xf>
    <xf numFmtId="3" fontId="15" fillId="8" borderId="22" xfId="0" applyNumberFormat="1" applyFont="1" applyFill="1" applyBorder="1" applyAlignment="1">
      <alignment horizontal="center" vertical="top" wrapText="1"/>
    </xf>
    <xf numFmtId="0" fontId="26" fillId="0" borderId="5" xfId="0" applyFont="1" applyBorder="1" applyAlignment="1">
      <alignment vertical="top" wrapText="1"/>
    </xf>
    <xf numFmtId="0" fontId="26" fillId="0" borderId="17" xfId="0" applyFont="1" applyBorder="1" applyAlignment="1">
      <alignment vertical="top" wrapText="1"/>
    </xf>
    <xf numFmtId="9" fontId="9" fillId="0" borderId="5" xfId="0" applyNumberFormat="1" applyFont="1" applyBorder="1" applyAlignment="1">
      <alignment horizontal="left" vertical="top" wrapText="1"/>
    </xf>
    <xf numFmtId="0" fontId="9" fillId="0" borderId="5" xfId="0" applyFont="1" applyBorder="1" applyAlignment="1">
      <alignment horizontal="left" vertical="top" wrapText="1"/>
    </xf>
    <xf numFmtId="1" fontId="7" fillId="0" borderId="5" xfId="0" applyNumberFormat="1" applyFont="1" applyBorder="1" applyAlignment="1">
      <alignment horizontal="center" vertical="top" wrapText="1"/>
    </xf>
    <xf numFmtId="1" fontId="7" fillId="0" borderId="5" xfId="0" applyNumberFormat="1" applyFont="1" applyBorder="1" applyAlignment="1">
      <alignment vertical="top" wrapText="1"/>
    </xf>
    <xf numFmtId="9" fontId="7" fillId="0" borderId="5" xfId="0" applyNumberFormat="1" applyFont="1" applyBorder="1" applyAlignment="1">
      <alignment horizontal="left" vertical="top" wrapText="1"/>
    </xf>
    <xf numFmtId="0" fontId="26" fillId="0" borderId="5" xfId="0" applyFont="1" applyBorder="1" applyAlignment="1">
      <alignment horizontal="center" vertical="top" wrapText="1"/>
    </xf>
    <xf numFmtId="0" fontId="28" fillId="0" borderId="5" xfId="0" applyFont="1" applyBorder="1" applyAlignment="1">
      <alignment vertical="top" wrapText="1"/>
    </xf>
    <xf numFmtId="4" fontId="26" fillId="0" borderId="5" xfId="0" applyNumberFormat="1" applyFont="1" applyBorder="1" applyAlignment="1">
      <alignment horizontal="center" vertical="top" wrapText="1"/>
    </xf>
    <xf numFmtId="9" fontId="26" fillId="0" borderId="5" xfId="0" applyNumberFormat="1" applyFont="1" applyBorder="1" applyAlignment="1">
      <alignment horizontal="center" vertical="top" wrapText="1"/>
    </xf>
    <xf numFmtId="1" fontId="26" fillId="0" borderId="5" xfId="0" applyNumberFormat="1" applyFont="1" applyBorder="1" applyAlignment="1">
      <alignment horizontal="center" vertical="top" wrapText="1"/>
    </xf>
    <xf numFmtId="9" fontId="26" fillId="0" borderId="5" xfId="0" applyNumberFormat="1" applyFont="1" applyBorder="1" applyAlignment="1">
      <alignment vertical="top" wrapText="1"/>
    </xf>
    <xf numFmtId="0" fontId="26" fillId="0" borderId="17" xfId="0" applyFont="1" applyBorder="1" applyAlignment="1">
      <alignment horizontal="center" vertical="top" wrapText="1"/>
    </xf>
    <xf numFmtId="0" fontId="27" fillId="0" borderId="17" xfId="0" applyFont="1" applyBorder="1" applyAlignment="1">
      <alignment vertical="top" wrapText="1"/>
    </xf>
    <xf numFmtId="4" fontId="26" fillId="0" borderId="17" xfId="0" applyNumberFormat="1" applyFont="1" applyBorder="1" applyAlignment="1">
      <alignment horizontal="center" vertical="top" wrapText="1"/>
    </xf>
    <xf numFmtId="0" fontId="0" fillId="8" borderId="23" xfId="0" applyFill="1" applyBorder="1" applyAlignment="1">
      <alignment vertical="top"/>
    </xf>
    <xf numFmtId="0" fontId="0" fillId="0" borderId="0" xfId="0" applyFill="1"/>
    <xf numFmtId="0" fontId="13" fillId="0" borderId="22" xfId="0" applyFont="1" applyFill="1" applyBorder="1" applyAlignment="1">
      <alignment horizontal="center" vertical="top" wrapText="1"/>
    </xf>
    <xf numFmtId="0" fontId="13" fillId="0" borderId="22" xfId="0" applyFont="1" applyFill="1" applyBorder="1" applyAlignment="1">
      <alignment vertical="top" wrapText="1"/>
    </xf>
    <xf numFmtId="0" fontId="3" fillId="0" borderId="22" xfId="0" applyFont="1" applyFill="1" applyBorder="1" applyAlignment="1">
      <alignment vertical="top" wrapText="1"/>
    </xf>
    <xf numFmtId="3" fontId="3" fillId="0" borderId="22" xfId="0" applyNumberFormat="1" applyFont="1" applyFill="1" applyBorder="1" applyAlignment="1">
      <alignment vertical="top" wrapText="1"/>
    </xf>
    <xf numFmtId="0" fontId="9" fillId="8" borderId="5" xfId="0" applyFont="1" applyFill="1" applyBorder="1" applyAlignment="1">
      <alignment horizontal="center" vertical="top" wrapText="1"/>
    </xf>
    <xf numFmtId="0" fontId="9" fillId="8" borderId="5" xfId="0" applyNumberFormat="1" applyFont="1" applyFill="1" applyBorder="1" applyAlignment="1">
      <alignment horizontal="center" vertical="top" wrapText="1"/>
    </xf>
    <xf numFmtId="3" fontId="3" fillId="8" borderId="15" xfId="0" applyNumberFormat="1" applyFont="1" applyFill="1" applyBorder="1" applyAlignment="1">
      <alignment horizontal="center" vertical="top" wrapText="1"/>
    </xf>
    <xf numFmtId="0" fontId="3" fillId="8" borderId="23" xfId="0" applyFont="1" applyFill="1" applyBorder="1" applyAlignment="1">
      <alignment horizontal="center" vertical="top" wrapText="1"/>
    </xf>
    <xf numFmtId="0" fontId="3" fillId="8" borderId="23" xfId="0" applyFont="1" applyFill="1" applyBorder="1" applyAlignment="1">
      <alignment vertical="top" wrapText="1"/>
    </xf>
    <xf numFmtId="0" fontId="3" fillId="8" borderId="23" xfId="0" applyFont="1" applyFill="1" applyBorder="1" applyAlignment="1">
      <alignment horizontal="left" vertical="top" wrapText="1"/>
    </xf>
    <xf numFmtId="0" fontId="13" fillId="8" borderId="23" xfId="0" applyFont="1" applyFill="1" applyBorder="1" applyAlignment="1">
      <alignment vertical="top" wrapText="1"/>
    </xf>
    <xf numFmtId="3" fontId="3" fillId="8" borderId="23" xfId="0" applyNumberFormat="1" applyFont="1" applyFill="1" applyBorder="1" applyAlignment="1">
      <alignment horizontal="center" vertical="top" wrapText="1"/>
    </xf>
    <xf numFmtId="3" fontId="13" fillId="8" borderId="23" xfId="0" applyNumberFormat="1" applyFont="1" applyFill="1" applyBorder="1" applyAlignment="1">
      <alignment horizontal="center" vertical="top" wrapText="1"/>
    </xf>
    <xf numFmtId="6" fontId="3" fillId="8" borderId="23" xfId="0" applyNumberFormat="1" applyFont="1" applyFill="1" applyBorder="1" applyAlignment="1">
      <alignment horizontal="center" vertical="top" wrapText="1"/>
    </xf>
    <xf numFmtId="9" fontId="3" fillId="8" borderId="23" xfId="0" applyNumberFormat="1" applyFont="1" applyFill="1" applyBorder="1" applyAlignment="1">
      <alignment horizontal="left" vertical="top" wrapText="1"/>
    </xf>
    <xf numFmtId="0" fontId="13" fillId="8" borderId="23" xfId="0" applyFont="1" applyFill="1" applyBorder="1" applyAlignment="1">
      <alignment horizontal="center" vertical="top" wrapText="1"/>
    </xf>
    <xf numFmtId="0" fontId="15" fillId="0" borderId="23" xfId="0" applyFont="1" applyBorder="1" applyAlignment="1">
      <alignment horizontal="center" vertical="top" wrapText="1"/>
    </xf>
    <xf numFmtId="0" fontId="15" fillId="0" borderId="23" xfId="0" applyFont="1" applyBorder="1" applyAlignment="1">
      <alignment vertical="top" wrapText="1"/>
    </xf>
    <xf numFmtId="0" fontId="15" fillId="8" borderId="23" xfId="0" applyFont="1" applyFill="1" applyBorder="1" applyAlignment="1">
      <alignment horizontal="left" vertical="top" wrapText="1"/>
    </xf>
    <xf numFmtId="0" fontId="15" fillId="8" borderId="23" xfId="0" applyFont="1" applyFill="1" applyBorder="1" applyAlignment="1">
      <alignment horizontal="center" vertical="top" wrapText="1"/>
    </xf>
    <xf numFmtId="4" fontId="3" fillId="0" borderId="23" xfId="0" applyNumberFormat="1" applyFont="1" applyFill="1" applyBorder="1" applyAlignment="1">
      <alignment horizontal="center" vertical="top" wrapText="1"/>
    </xf>
    <xf numFmtId="0" fontId="3" fillId="8" borderId="23" xfId="50" applyFont="1" applyFill="1" applyBorder="1" applyAlignment="1">
      <alignment horizontal="center" vertical="top" wrapText="1"/>
    </xf>
    <xf numFmtId="9" fontId="3" fillId="8" borderId="23" xfId="50" applyNumberFormat="1" applyFont="1" applyFill="1" applyBorder="1" applyAlignment="1">
      <alignment horizontal="left" vertical="top" wrapText="1"/>
    </xf>
    <xf numFmtId="4" fontId="13" fillId="8" borderId="23" xfId="0" applyNumberFormat="1" applyFont="1" applyFill="1" applyBorder="1" applyAlignment="1">
      <alignment horizontal="center" vertical="top" wrapText="1"/>
    </xf>
    <xf numFmtId="0" fontId="27" fillId="8" borderId="23" xfId="0" applyFont="1" applyFill="1" applyBorder="1" applyAlignment="1">
      <alignment horizontal="left" vertical="top" wrapText="1"/>
    </xf>
    <xf numFmtId="3" fontId="3" fillId="8" borderId="23" xfId="0" applyNumberFormat="1" applyFont="1" applyFill="1" applyBorder="1" applyAlignment="1">
      <alignment vertical="top" wrapText="1"/>
    </xf>
    <xf numFmtId="0" fontId="15" fillId="8" borderId="23" xfId="0" applyFont="1" applyFill="1" applyBorder="1" applyAlignment="1">
      <alignment vertical="top" wrapText="1"/>
    </xf>
    <xf numFmtId="3" fontId="15" fillId="8" borderId="23" xfId="0" applyNumberFormat="1" applyFont="1" applyFill="1" applyBorder="1" applyAlignment="1">
      <alignment horizontal="center" vertical="top" wrapText="1"/>
    </xf>
    <xf numFmtId="0" fontId="6" fillId="6" borderId="20" xfId="0" applyFont="1" applyFill="1" applyBorder="1" applyAlignment="1">
      <alignment horizontal="left" vertical="top" wrapText="1"/>
    </xf>
    <xf numFmtId="0" fontId="13" fillId="0" borderId="23" xfId="0" applyFont="1" applyBorder="1" applyAlignment="1">
      <alignment vertical="top" wrapText="1"/>
    </xf>
    <xf numFmtId="0" fontId="15" fillId="0" borderId="23" xfId="0" applyFont="1" applyFill="1" applyBorder="1" applyAlignment="1">
      <alignment horizontal="left" vertical="top" wrapText="1"/>
    </xf>
    <xf numFmtId="0" fontId="3" fillId="0" borderId="23" xfId="0" applyFont="1" applyFill="1" applyBorder="1" applyAlignment="1">
      <alignment horizontal="left" vertical="top" wrapText="1"/>
    </xf>
    <xf numFmtId="0" fontId="6" fillId="7" borderId="20" xfId="0" applyFont="1" applyFill="1" applyBorder="1" applyAlignment="1">
      <alignment horizontal="center" vertical="top" wrapText="1"/>
    </xf>
    <xf numFmtId="0" fontId="6" fillId="7" borderId="24" xfId="0" applyFont="1" applyFill="1" applyBorder="1" applyAlignment="1">
      <alignment horizontal="center" vertical="top" wrapText="1"/>
    </xf>
    <xf numFmtId="0" fontId="6" fillId="6" borderId="25" xfId="0" applyFont="1" applyFill="1" applyBorder="1" applyAlignment="1">
      <alignment horizontal="left" vertical="top" wrapText="1"/>
    </xf>
    <xf numFmtId="0" fontId="6" fillId="7" borderId="20" xfId="0" applyFont="1" applyFill="1" applyBorder="1" applyAlignment="1">
      <alignment horizontal="center" vertical="top"/>
    </xf>
    <xf numFmtId="0" fontId="6" fillId="7" borderId="24" xfId="0" applyFont="1" applyFill="1" applyBorder="1" applyAlignment="1">
      <alignment horizontal="center" vertical="top"/>
    </xf>
    <xf numFmtId="8" fontId="13" fillId="8" borderId="23" xfId="0" applyNumberFormat="1" applyFont="1" applyFill="1" applyBorder="1" applyAlignment="1">
      <alignment vertical="top" wrapText="1"/>
    </xf>
    <xf numFmtId="9" fontId="26" fillId="0" borderId="5" xfId="0" applyNumberFormat="1" applyFont="1" applyBorder="1" applyAlignment="1">
      <alignment horizontal="left" vertical="top" wrapText="1"/>
    </xf>
    <xf numFmtId="0" fontId="26" fillId="0" borderId="5" xfId="0" applyFont="1" applyBorder="1" applyAlignment="1">
      <alignment horizontal="left" vertical="top" wrapText="1"/>
    </xf>
    <xf numFmtId="0" fontId="14" fillId="7" borderId="5" xfId="0" applyFont="1" applyFill="1" applyBorder="1" applyAlignment="1">
      <alignment horizontal="left" vertical="top" wrapText="1"/>
    </xf>
    <xf numFmtId="1" fontId="26" fillId="0" borderId="5" xfId="0" applyNumberFormat="1" applyFont="1" applyBorder="1" applyAlignment="1">
      <alignment horizontal="left" vertical="top" wrapText="1"/>
    </xf>
    <xf numFmtId="0" fontId="26" fillId="0" borderId="17" xfId="0" applyFont="1" applyBorder="1" applyAlignment="1">
      <alignment horizontal="left" vertical="top" wrapText="1"/>
    </xf>
    <xf numFmtId="0" fontId="13" fillId="8" borderId="1" xfId="0" applyFont="1" applyFill="1" applyBorder="1" applyAlignment="1">
      <alignment horizontal="left" vertical="top" wrapText="1"/>
    </xf>
    <xf numFmtId="9" fontId="13" fillId="8" borderId="1" xfId="0" applyNumberFormat="1" applyFont="1" applyFill="1" applyBorder="1" applyAlignment="1">
      <alignment horizontal="left" vertical="top" wrapText="1"/>
    </xf>
    <xf numFmtId="0" fontId="13" fillId="8" borderId="22" xfId="0" applyFont="1" applyFill="1" applyBorder="1" applyAlignment="1">
      <alignment horizontal="left" vertical="top" wrapText="1"/>
    </xf>
    <xf numFmtId="0" fontId="13" fillId="8" borderId="15" xfId="0" applyFont="1" applyFill="1" applyBorder="1" applyAlignment="1">
      <alignment horizontal="left" vertical="top" wrapText="1"/>
    </xf>
    <xf numFmtId="0" fontId="15" fillId="8" borderId="2" xfId="0" applyFont="1" applyFill="1" applyBorder="1" applyAlignment="1">
      <alignment horizontal="left" vertical="top" wrapText="1"/>
    </xf>
    <xf numFmtId="9" fontId="9" fillId="8" borderId="5" xfId="0" applyNumberFormat="1" applyFont="1" applyFill="1" applyBorder="1" applyAlignment="1">
      <alignment horizontal="center" vertical="top" wrapText="1"/>
    </xf>
    <xf numFmtId="0" fontId="29" fillId="8" borderId="5" xfId="0" applyFont="1" applyFill="1" applyBorder="1" applyAlignment="1">
      <alignment horizontal="left" vertical="top" wrapText="1" indent="1"/>
    </xf>
    <xf numFmtId="8" fontId="13" fillId="8" borderId="23" xfId="0" applyNumberFormat="1" applyFont="1" applyFill="1" applyBorder="1" applyAlignment="1">
      <alignment horizontal="center" vertical="top" wrapText="1"/>
    </xf>
    <xf numFmtId="9" fontId="26" fillId="8" borderId="5" xfId="0" applyNumberFormat="1" applyFont="1" applyFill="1" applyBorder="1" applyAlignment="1">
      <alignment horizontal="left" vertical="top" wrapText="1"/>
    </xf>
    <xf numFmtId="8" fontId="9" fillId="0" borderId="5" xfId="0" applyNumberFormat="1" applyFont="1" applyBorder="1" applyAlignment="1">
      <alignment horizontal="center" vertical="top" wrapText="1"/>
    </xf>
    <xf numFmtId="8" fontId="3" fillId="8" borderId="23" xfId="0" applyNumberFormat="1" applyFont="1" applyFill="1" applyBorder="1" applyAlignment="1">
      <alignment horizontal="left" vertical="top" wrapText="1"/>
    </xf>
    <xf numFmtId="0" fontId="29" fillId="0" borderId="5" xfId="0" applyFont="1" applyFill="1" applyBorder="1" applyAlignment="1">
      <alignment vertical="top" wrapText="1"/>
    </xf>
    <xf numFmtId="9" fontId="9" fillId="0" borderId="5" xfId="0" applyNumberFormat="1" applyFont="1" applyFill="1" applyBorder="1" applyAlignment="1">
      <alignment horizontal="left" vertical="top" wrapText="1"/>
    </xf>
    <xf numFmtId="0" fontId="7" fillId="0" borderId="5" xfId="0" applyFont="1" applyFill="1" applyBorder="1" applyAlignment="1">
      <alignment horizontal="left" vertical="top" wrapText="1"/>
    </xf>
    <xf numFmtId="1" fontId="7" fillId="0" borderId="5" xfId="0" applyNumberFormat="1" applyFont="1" applyBorder="1" applyAlignment="1">
      <alignment horizontal="left" vertical="top" wrapText="1"/>
    </xf>
    <xf numFmtId="1" fontId="7" fillId="8" borderId="5" xfId="0" applyNumberFormat="1" applyFont="1" applyFill="1" applyBorder="1" applyAlignment="1">
      <alignment horizontal="left" vertical="top" wrapText="1"/>
    </xf>
    <xf numFmtId="9" fontId="7" fillId="8" borderId="5" xfId="0" applyNumberFormat="1" applyFont="1" applyFill="1" applyBorder="1" applyAlignment="1">
      <alignment horizontal="left" vertical="top" wrapText="1"/>
    </xf>
    <xf numFmtId="9" fontId="7" fillId="0" borderId="5" xfId="0" applyNumberFormat="1" applyFont="1" applyFill="1" applyBorder="1" applyAlignment="1">
      <alignment horizontal="left" vertical="top" wrapText="1"/>
    </xf>
    <xf numFmtId="6" fontId="9" fillId="8" borderId="5" xfId="0" applyNumberFormat="1" applyFont="1" applyFill="1" applyBorder="1" applyAlignment="1">
      <alignment vertical="top" wrapText="1"/>
    </xf>
    <xf numFmtId="0" fontId="6" fillId="7" borderId="20" xfId="0" applyFont="1" applyFill="1" applyBorder="1" applyAlignment="1">
      <alignment horizontal="left" vertical="top" wrapText="1"/>
    </xf>
    <xf numFmtId="0" fontId="6" fillId="7" borderId="24" xfId="0" applyFont="1" applyFill="1" applyBorder="1" applyAlignment="1">
      <alignment horizontal="left" vertical="top" wrapText="1"/>
    </xf>
    <xf numFmtId="0" fontId="0" fillId="8" borderId="23" xfId="0" applyFill="1" applyBorder="1" applyAlignment="1">
      <alignment horizontal="left" vertical="top"/>
    </xf>
    <xf numFmtId="0" fontId="13" fillId="8" borderId="23" xfId="0" applyFont="1" applyFill="1" applyBorder="1" applyAlignment="1">
      <alignment horizontal="left" vertical="top" wrapText="1"/>
    </xf>
    <xf numFmtId="0" fontId="0" fillId="0" borderId="23" xfId="0" applyFill="1" applyBorder="1" applyAlignment="1">
      <alignment horizontal="left" vertical="top" wrapText="1"/>
    </xf>
    <xf numFmtId="44" fontId="0" fillId="0" borderId="0" xfId="0" applyNumberFormat="1"/>
    <xf numFmtId="166" fontId="6" fillId="6" borderId="20" xfId="0" applyNumberFormat="1" applyFont="1" applyFill="1" applyBorder="1" applyAlignment="1">
      <alignment horizontal="left" vertical="top" wrapText="1"/>
    </xf>
    <xf numFmtId="166" fontId="6" fillId="6" borderId="25" xfId="0" applyNumberFormat="1" applyFont="1" applyFill="1" applyBorder="1" applyAlignment="1">
      <alignment horizontal="left" vertical="top" wrapText="1"/>
    </xf>
    <xf numFmtId="166" fontId="13" fillId="8" borderId="23" xfId="0" applyNumberFormat="1" applyFont="1" applyFill="1" applyBorder="1" applyAlignment="1">
      <alignment vertical="top" wrapText="1"/>
    </xf>
    <xf numFmtId="166" fontId="0" fillId="0" borderId="0" xfId="0" applyNumberFormat="1"/>
    <xf numFmtId="166" fontId="6" fillId="7" borderId="20" xfId="0" applyNumberFormat="1" applyFont="1" applyFill="1" applyBorder="1" applyAlignment="1">
      <alignment horizontal="center" vertical="top" wrapText="1"/>
    </xf>
    <xf numFmtId="166" fontId="6" fillId="7" borderId="24" xfId="0" applyNumberFormat="1" applyFont="1" applyFill="1" applyBorder="1" applyAlignment="1">
      <alignment horizontal="center" vertical="top" wrapText="1"/>
    </xf>
    <xf numFmtId="166" fontId="16" fillId="0" borderId="0" xfId="0" applyNumberFormat="1" applyFont="1"/>
    <xf numFmtId="166" fontId="16" fillId="8" borderId="0" xfId="0" applyNumberFormat="1" applyFont="1" applyFill="1"/>
    <xf numFmtId="166" fontId="3" fillId="8" borderId="23" xfId="0" applyNumberFormat="1" applyFont="1" applyFill="1" applyBorder="1" applyAlignment="1">
      <alignment horizontal="left" vertical="top" wrapText="1"/>
    </xf>
    <xf numFmtId="166" fontId="3" fillId="0" borderId="23" xfId="0" applyNumberFormat="1" applyFont="1" applyFill="1" applyBorder="1" applyAlignment="1">
      <alignment horizontal="left" vertical="top" wrapText="1"/>
    </xf>
    <xf numFmtId="8" fontId="26" fillId="0" borderId="5" xfId="0" applyNumberFormat="1" applyFont="1" applyBorder="1" applyAlignment="1">
      <alignment horizontal="center" vertical="top" wrapText="1"/>
    </xf>
    <xf numFmtId="1" fontId="26" fillId="8" borderId="5" xfId="0" applyNumberFormat="1" applyFont="1" applyFill="1" applyBorder="1" applyAlignment="1">
      <alignment horizontal="left" vertical="top" wrapText="1"/>
    </xf>
    <xf numFmtId="0" fontId="26" fillId="8" borderId="5" xfId="0" applyFont="1" applyFill="1" applyBorder="1" applyAlignment="1">
      <alignment horizontal="left" vertical="top" wrapText="1"/>
    </xf>
    <xf numFmtId="166" fontId="0" fillId="0" borderId="0" xfId="0" applyNumberFormat="1" applyAlignment="1">
      <alignment horizontal="left"/>
    </xf>
    <xf numFmtId="166" fontId="6" fillId="7" borderId="20" xfId="0" applyNumberFormat="1" applyFont="1" applyFill="1" applyBorder="1" applyAlignment="1">
      <alignment horizontal="left" vertical="top" wrapText="1"/>
    </xf>
    <xf numFmtId="166" fontId="6" fillId="7" borderId="24" xfId="0" applyNumberFormat="1" applyFont="1" applyFill="1" applyBorder="1" applyAlignment="1">
      <alignment horizontal="left" vertical="top" wrapText="1"/>
    </xf>
    <xf numFmtId="166" fontId="13" fillId="8" borderId="23" xfId="0" applyNumberFormat="1" applyFont="1" applyFill="1" applyBorder="1" applyAlignment="1">
      <alignment horizontal="left" vertical="top" wrapText="1"/>
    </xf>
    <xf numFmtId="166" fontId="13" fillId="0" borderId="23" xfId="0" applyNumberFormat="1" applyFont="1" applyBorder="1" applyAlignment="1">
      <alignment horizontal="left" vertical="top" wrapText="1"/>
    </xf>
    <xf numFmtId="166" fontId="13" fillId="0" borderId="0" xfId="0" applyNumberFormat="1" applyFont="1" applyBorder="1" applyAlignment="1">
      <alignment horizontal="left" vertical="top" wrapText="1"/>
    </xf>
    <xf numFmtId="8" fontId="3" fillId="8" borderId="23" xfId="0" applyNumberFormat="1" applyFont="1" applyFill="1" applyBorder="1" applyAlignment="1">
      <alignment horizontal="center" vertical="top" wrapText="1"/>
    </xf>
    <xf numFmtId="9" fontId="3" fillId="8" borderId="15" xfId="0" applyNumberFormat="1" applyFont="1" applyFill="1" applyBorder="1" applyAlignment="1">
      <alignment horizontal="left" vertical="top" wrapText="1"/>
    </xf>
    <xf numFmtId="0" fontId="31" fillId="0" borderId="0" xfId="0" applyFont="1" applyBorder="1" applyAlignment="1">
      <alignment horizontal="center" vertical="center" wrapText="1"/>
    </xf>
    <xf numFmtId="0" fontId="32" fillId="0" borderId="0" xfId="0" applyFont="1" applyBorder="1" applyAlignment="1">
      <alignment horizontal="center" wrapText="1"/>
    </xf>
    <xf numFmtId="0" fontId="22" fillId="0" borderId="0" xfId="0" applyFont="1" applyFill="1"/>
    <xf numFmtId="0" fontId="22" fillId="8" borderId="0" xfId="0" applyFont="1" applyFill="1"/>
    <xf numFmtId="2" fontId="33" fillId="0" borderId="0" xfId="0" applyNumberFormat="1" applyFont="1" applyFill="1"/>
    <xf numFmtId="0" fontId="27" fillId="0" borderId="31" xfId="0" applyFont="1" applyFill="1" applyBorder="1"/>
    <xf numFmtId="44" fontId="10" fillId="8" borderId="31" xfId="182" applyFont="1" applyFill="1" applyBorder="1"/>
    <xf numFmtId="44" fontId="7" fillId="0" borderId="31" xfId="182" applyFont="1" applyFill="1" applyBorder="1"/>
    <xf numFmtId="167" fontId="7" fillId="0" borderId="31" xfId="3" applyNumberFormat="1" applyFont="1" applyFill="1" applyBorder="1"/>
    <xf numFmtId="0" fontId="7" fillId="0" borderId="31" xfId="0" applyFont="1" applyFill="1" applyBorder="1"/>
    <xf numFmtId="44" fontId="7" fillId="8" borderId="31" xfId="182" applyFont="1" applyFill="1" applyBorder="1"/>
    <xf numFmtId="166" fontId="0" fillId="0" borderId="0" xfId="0" applyNumberFormat="1" applyFill="1"/>
    <xf numFmtId="166" fontId="7" fillId="8" borderId="31" xfId="182" applyNumberFormat="1" applyFont="1" applyFill="1" applyBorder="1"/>
    <xf numFmtId="166" fontId="7" fillId="0" borderId="31" xfId="182" applyNumberFormat="1" applyFont="1" applyFill="1" applyBorder="1"/>
    <xf numFmtId="166" fontId="7" fillId="0" borderId="31" xfId="0" applyNumberFormat="1" applyFont="1" applyFill="1" applyBorder="1"/>
    <xf numFmtId="166" fontId="0" fillId="0" borderId="0" xfId="0" applyNumberFormat="1" applyFill="1" applyAlignment="1"/>
    <xf numFmtId="166" fontId="7" fillId="8" borderId="31" xfId="182" applyNumberFormat="1" applyFont="1" applyFill="1" applyBorder="1" applyAlignment="1"/>
    <xf numFmtId="166" fontId="7" fillId="0" borderId="31" xfId="182" applyNumberFormat="1" applyFont="1" applyFill="1" applyBorder="1" applyAlignment="1"/>
    <xf numFmtId="167" fontId="7" fillId="0" borderId="31" xfId="3" applyNumberFormat="1" applyFont="1" applyFill="1" applyBorder="1" applyAlignment="1"/>
    <xf numFmtId="166" fontId="7" fillId="0" borderId="31" xfId="0" applyNumberFormat="1" applyFont="1" applyFill="1" applyBorder="1" applyAlignment="1"/>
    <xf numFmtId="44" fontId="34" fillId="8" borderId="31" xfId="182" applyFont="1" applyFill="1" applyBorder="1"/>
    <xf numFmtId="0" fontId="27" fillId="0" borderId="31" xfId="0" applyFont="1" applyFill="1" applyBorder="1" applyAlignment="1">
      <alignment wrapText="1"/>
    </xf>
    <xf numFmtId="0" fontId="28" fillId="0" borderId="31" xfId="0" applyFont="1" applyFill="1" applyBorder="1" applyAlignment="1">
      <alignment wrapText="1"/>
    </xf>
    <xf numFmtId="44" fontId="22" fillId="8" borderId="31" xfId="182" applyFont="1" applyFill="1" applyBorder="1"/>
    <xf numFmtId="44" fontId="22" fillId="8" borderId="0" xfId="182" applyFont="1" applyFill="1" applyBorder="1"/>
    <xf numFmtId="44" fontId="7" fillId="0" borderId="0" xfId="182" applyFont="1" applyFill="1" applyBorder="1"/>
    <xf numFmtId="44" fontId="33" fillId="8" borderId="0" xfId="182" applyFont="1" applyFill="1"/>
    <xf numFmtId="44" fontId="35" fillId="0" borderId="0" xfId="182" applyFont="1" applyFill="1" applyBorder="1"/>
    <xf numFmtId="0" fontId="36" fillId="0" borderId="0" xfId="0" applyFont="1" applyFill="1"/>
    <xf numFmtId="44" fontId="37" fillId="8" borderId="0" xfId="182" applyFont="1" applyFill="1" applyBorder="1"/>
    <xf numFmtId="0" fontId="38" fillId="0" borderId="0" xfId="0" applyFont="1" applyFill="1" applyBorder="1"/>
    <xf numFmtId="43" fontId="39" fillId="0" borderId="0" xfId="3" applyFont="1" applyFill="1"/>
    <xf numFmtId="44" fontId="37" fillId="8" borderId="32" xfId="182" applyFont="1" applyFill="1" applyBorder="1"/>
    <xf numFmtId="44" fontId="40" fillId="0" borderId="32" xfId="182" applyFont="1" applyFill="1" applyBorder="1"/>
    <xf numFmtId="0" fontId="7" fillId="0" borderId="0" xfId="0" applyFont="1" applyFill="1" applyBorder="1"/>
    <xf numFmtId="0" fontId="22" fillId="0" borderId="0" xfId="0" applyFont="1" applyFill="1" applyBorder="1"/>
    <xf numFmtId="0" fontId="16" fillId="0" borderId="0" xfId="0" applyFont="1" applyFill="1"/>
    <xf numFmtId="44" fontId="21" fillId="0" borderId="31" xfId="182" applyFont="1" applyFill="1" applyBorder="1"/>
    <xf numFmtId="44" fontId="22" fillId="0" borderId="31" xfId="182" applyFont="1" applyFill="1" applyBorder="1"/>
    <xf numFmtId="0" fontId="28" fillId="0" borderId="31" xfId="0" applyFont="1" applyFill="1" applyBorder="1"/>
    <xf numFmtId="44" fontId="22" fillId="8" borderId="0" xfId="182" applyFont="1" applyFill="1"/>
    <xf numFmtId="44" fontId="7" fillId="0" borderId="0" xfId="182" applyFont="1" applyFill="1"/>
    <xf numFmtId="44" fontId="40" fillId="0" borderId="0" xfId="182" applyFont="1" applyFill="1" applyBorder="1"/>
    <xf numFmtId="44" fontId="27" fillId="0" borderId="31" xfId="182" applyFont="1" applyFill="1" applyBorder="1"/>
    <xf numFmtId="44" fontId="28" fillId="0" borderId="31" xfId="182" applyFont="1" applyFill="1" applyBorder="1"/>
    <xf numFmtId="44" fontId="41" fillId="0" borderId="0" xfId="182" applyFont="1" applyFill="1"/>
    <xf numFmtId="0" fontId="10" fillId="0" borderId="0" xfId="0" applyFont="1" applyFill="1" applyBorder="1"/>
    <xf numFmtId="44" fontId="10" fillId="8" borderId="0" xfId="182" applyFont="1" applyFill="1" applyBorder="1"/>
    <xf numFmtId="41" fontId="7" fillId="0" borderId="0" xfId="0" applyNumberFormat="1" applyFont="1" applyFill="1" applyBorder="1"/>
    <xf numFmtId="0" fontId="27" fillId="0" borderId="0" xfId="0" applyFont="1" applyFill="1" applyBorder="1"/>
    <xf numFmtId="44" fontId="7" fillId="8" borderId="0" xfId="182" applyFont="1" applyFill="1" applyBorder="1"/>
    <xf numFmtId="41" fontId="7" fillId="0" borderId="31" xfId="0" applyNumberFormat="1" applyFont="1" applyFill="1" applyBorder="1"/>
    <xf numFmtId="168" fontId="7" fillId="0" borderId="31" xfId="0" applyNumberFormat="1" applyFont="1" applyFill="1" applyBorder="1"/>
    <xf numFmtId="41" fontId="7" fillId="8" borderId="31" xfId="0" applyNumberFormat="1" applyFont="1" applyFill="1" applyBorder="1"/>
    <xf numFmtId="166" fontId="10" fillId="0" borderId="31" xfId="182" applyNumberFormat="1" applyFont="1" applyFill="1" applyBorder="1"/>
    <xf numFmtId="166" fontId="10" fillId="8" borderId="31" xfId="182" applyNumberFormat="1" applyFont="1" applyFill="1" applyBorder="1"/>
    <xf numFmtId="41" fontId="42" fillId="0" borderId="31" xfId="0" applyNumberFormat="1" applyFont="1" applyFill="1" applyBorder="1"/>
    <xf numFmtId="7" fontId="7" fillId="0" borderId="31" xfId="0" applyNumberFormat="1" applyFont="1" applyFill="1" applyBorder="1"/>
    <xf numFmtId="0" fontId="10" fillId="0" borderId="31" xfId="0" applyFont="1" applyFill="1" applyBorder="1"/>
    <xf numFmtId="44" fontId="40" fillId="0" borderId="31" xfId="182" applyFont="1" applyFill="1" applyBorder="1"/>
    <xf numFmtId="0" fontId="10" fillId="0" borderId="0" xfId="0" applyFont="1" applyFill="1"/>
    <xf numFmtId="0" fontId="35" fillId="0" borderId="0" xfId="0" applyFont="1" applyFill="1" applyBorder="1"/>
    <xf numFmtId="44" fontId="10" fillId="8" borderId="0" xfId="182" applyFont="1" applyFill="1"/>
    <xf numFmtId="44" fontId="43" fillId="0" borderId="0" xfId="0" applyNumberFormat="1" applyFont="1" applyFill="1"/>
    <xf numFmtId="44" fontId="10" fillId="0" borderId="0" xfId="182" applyFont="1" applyFill="1" applyBorder="1"/>
    <xf numFmtId="3" fontId="7" fillId="0" borderId="0" xfId="0" applyNumberFormat="1" applyFont="1" applyFill="1" applyBorder="1"/>
    <xf numFmtId="3" fontId="7" fillId="0" borderId="31" xfId="0" applyNumberFormat="1" applyFont="1" applyFill="1" applyBorder="1"/>
    <xf numFmtId="44" fontId="10" fillId="0" borderId="31" xfId="182" applyFont="1" applyFill="1" applyBorder="1"/>
    <xf numFmtId="0" fontId="7" fillId="0" borderId="31" xfId="0" applyFont="1" applyFill="1" applyBorder="1" applyAlignment="1">
      <alignment wrapText="1"/>
    </xf>
    <xf numFmtId="44" fontId="35" fillId="0" borderId="0" xfId="182" applyFont="1" applyFill="1"/>
    <xf numFmtId="0" fontId="7" fillId="0" borderId="33" xfId="0" applyFont="1" applyFill="1" applyBorder="1"/>
    <xf numFmtId="0" fontId="7" fillId="0" borderId="33" xfId="0" applyFont="1" applyBorder="1"/>
    <xf numFmtId="0" fontId="0" fillId="0" borderId="0" xfId="0" applyFill="1" applyBorder="1"/>
    <xf numFmtId="0" fontId="27" fillId="0" borderId="33" xfId="0" applyFont="1" applyFill="1" applyBorder="1"/>
    <xf numFmtId="44" fontId="7" fillId="0" borderId="31" xfId="182" applyFont="1" applyFill="1" applyBorder="1" applyAlignment="1">
      <alignment horizontal="left"/>
    </xf>
    <xf numFmtId="44" fontId="35" fillId="0" borderId="31" xfId="182" applyFont="1" applyFill="1" applyBorder="1"/>
    <xf numFmtId="0" fontId="38" fillId="0" borderId="31" xfId="0" applyFont="1" applyFill="1" applyBorder="1"/>
    <xf numFmtId="44" fontId="38" fillId="0" borderId="0" xfId="182" applyFont="1" applyFill="1" applyBorder="1"/>
    <xf numFmtId="0" fontId="33" fillId="0" borderId="0" xfId="0" applyFont="1" applyFill="1" applyBorder="1"/>
    <xf numFmtId="42" fontId="33" fillId="8" borderId="0" xfId="0" applyNumberFormat="1" applyFont="1" applyFill="1" applyBorder="1"/>
    <xf numFmtId="0" fontId="44" fillId="0" borderId="0" xfId="0" applyFont="1" applyFill="1" applyBorder="1"/>
    <xf numFmtId="0" fontId="45" fillId="8" borderId="0" xfId="0" applyFont="1" applyFill="1" applyBorder="1"/>
    <xf numFmtId="42" fontId="33" fillId="0" borderId="0" xfId="0" applyNumberFormat="1" applyFont="1" applyFill="1" applyBorder="1"/>
    <xf numFmtId="42" fontId="28" fillId="0" borderId="31" xfId="0" applyNumberFormat="1" applyFont="1" applyFill="1" applyBorder="1"/>
    <xf numFmtId="42" fontId="10" fillId="8" borderId="31" xfId="0" applyNumberFormat="1" applyFont="1" applyFill="1" applyBorder="1"/>
    <xf numFmtId="42" fontId="10" fillId="0" borderId="31" xfId="0" applyNumberFormat="1" applyFont="1" applyFill="1" applyBorder="1"/>
    <xf numFmtId="44" fontId="0" fillId="0" borderId="0" xfId="0" applyNumberFormat="1" applyFill="1"/>
    <xf numFmtId="42" fontId="28" fillId="0" borderId="31" xfId="0" applyNumberFormat="1" applyFont="1" applyFill="1" applyBorder="1" applyAlignment="1">
      <alignment wrapText="1"/>
    </xf>
    <xf numFmtId="42" fontId="22" fillId="0" borderId="0" xfId="0" applyNumberFormat="1" applyFont="1" applyFill="1"/>
    <xf numFmtId="42" fontId="22" fillId="8" borderId="0" xfId="0" applyNumberFormat="1" applyFont="1" applyFill="1"/>
    <xf numFmtId="0" fontId="30" fillId="0" borderId="0" xfId="0" applyFont="1" applyFill="1"/>
    <xf numFmtId="42" fontId="46" fillId="0" borderId="0" xfId="0" applyNumberFormat="1" applyFont="1" applyFill="1"/>
    <xf numFmtId="42" fontId="46" fillId="8" borderId="0" xfId="0" applyNumberFormat="1" applyFont="1" applyFill="1"/>
    <xf numFmtId="0" fontId="44" fillId="0" borderId="0" xfId="0" applyFont="1" applyFill="1"/>
    <xf numFmtId="0" fontId="47" fillId="0" borderId="0" xfId="0" applyFont="1" applyFill="1"/>
    <xf numFmtId="0" fontId="48" fillId="0" borderId="0" xfId="0" applyFont="1"/>
    <xf numFmtId="0" fontId="30" fillId="0" borderId="0" xfId="0" applyFont="1"/>
    <xf numFmtId="0" fontId="30" fillId="0" borderId="31" xfId="0" applyFont="1" applyBorder="1"/>
    <xf numFmtId="44" fontId="8" fillId="8" borderId="31" xfId="182" applyFont="1" applyFill="1" applyBorder="1"/>
    <xf numFmtId="0" fontId="30" fillId="0" borderId="31" xfId="0" applyFont="1" applyBorder="1" applyAlignment="1">
      <alignment horizontal="center"/>
    </xf>
    <xf numFmtId="0" fontId="0" fillId="0" borderId="34" xfId="0" quotePrefix="1" applyBorder="1"/>
    <xf numFmtId="0" fontId="0" fillId="0" borderId="34" xfId="0" applyBorder="1"/>
    <xf numFmtId="42" fontId="0" fillId="0" borderId="31" xfId="0" applyNumberFormat="1" applyBorder="1"/>
    <xf numFmtId="42" fontId="0" fillId="0" borderId="34" xfId="0" applyNumberFormat="1" applyFill="1" applyBorder="1"/>
    <xf numFmtId="2" fontId="30" fillId="0" borderId="31" xfId="0" applyNumberFormat="1" applyFont="1" applyBorder="1"/>
    <xf numFmtId="0" fontId="0" fillId="0" borderId="32" xfId="0" applyBorder="1"/>
    <xf numFmtId="42" fontId="0" fillId="0" borderId="32" xfId="0" applyNumberFormat="1" applyBorder="1"/>
    <xf numFmtId="0" fontId="0" fillId="0" borderId="31" xfId="0" quotePrefix="1" applyBorder="1"/>
    <xf numFmtId="0" fontId="0" fillId="0" borderId="31" xfId="0" applyBorder="1"/>
    <xf numFmtId="42" fontId="0" fillId="0" borderId="31" xfId="0" applyNumberFormat="1" applyFill="1" applyBorder="1"/>
    <xf numFmtId="0" fontId="0" fillId="0" borderId="0" xfId="0" quotePrefix="1" applyBorder="1"/>
    <xf numFmtId="0" fontId="0" fillId="0" borderId="31" xfId="0" applyBorder="1" applyAlignment="1">
      <alignment wrapText="1"/>
    </xf>
    <xf numFmtId="2" fontId="30" fillId="0" borderId="31" xfId="0" applyNumberFormat="1" applyFont="1" applyFill="1" applyBorder="1"/>
    <xf numFmtId="42" fontId="0" fillId="0" borderId="0" xfId="0" applyNumberFormat="1" applyBorder="1"/>
    <xf numFmtId="0" fontId="0" fillId="0" borderId="0" xfId="0" quotePrefix="1" applyFill="1" applyBorder="1"/>
    <xf numFmtId="43" fontId="0" fillId="0" borderId="0" xfId="3" applyFont="1"/>
    <xf numFmtId="2" fontId="30" fillId="0" borderId="0" xfId="0" applyNumberFormat="1" applyFont="1" applyBorder="1"/>
    <xf numFmtId="42" fontId="0" fillId="0" borderId="34" xfId="0" applyNumberFormat="1" applyBorder="1"/>
    <xf numFmtId="44" fontId="30" fillId="8" borderId="31" xfId="182" applyFont="1" applyFill="1" applyBorder="1"/>
    <xf numFmtId="0" fontId="44" fillId="0" borderId="31" xfId="0" applyFont="1" applyBorder="1"/>
    <xf numFmtId="44" fontId="8" fillId="8" borderId="31" xfId="182" applyFont="1" applyFill="1" applyBorder="1" applyAlignment="1">
      <alignment horizontal="center"/>
    </xf>
    <xf numFmtId="42" fontId="30" fillId="0" borderId="31" xfId="0" applyNumberFormat="1" applyFont="1" applyBorder="1"/>
    <xf numFmtId="44" fontId="0" fillId="0" borderId="31" xfId="0" applyNumberFormat="1" applyFont="1" applyBorder="1"/>
    <xf numFmtId="2" fontId="8" fillId="8" borderId="31" xfId="182" applyNumberFormat="1" applyFont="1" applyFill="1" applyBorder="1"/>
    <xf numFmtId="42" fontId="30" fillId="0" borderId="31" xfId="0" applyNumberFormat="1" applyFont="1" applyFill="1" applyBorder="1"/>
    <xf numFmtId="44" fontId="0" fillId="8" borderId="31" xfId="0" applyNumberFormat="1" applyFont="1" applyFill="1" applyBorder="1"/>
    <xf numFmtId="0" fontId="49" fillId="0" borderId="0" xfId="0" applyFont="1"/>
    <xf numFmtId="2" fontId="0" fillId="0" borderId="0" xfId="0" applyNumberFormat="1"/>
    <xf numFmtId="0" fontId="50" fillId="0" borderId="0" xfId="0" applyFont="1"/>
    <xf numFmtId="2" fontId="30" fillId="0" borderId="31" xfId="0" applyNumberFormat="1" applyFont="1" applyBorder="1" applyAlignment="1">
      <alignment horizontal="center"/>
    </xf>
    <xf numFmtId="2" fontId="0" fillId="0" borderId="0" xfId="0" applyNumberFormat="1" applyAlignment="1">
      <alignment horizontal="center"/>
    </xf>
    <xf numFmtId="42" fontId="0" fillId="8" borderId="31" xfId="0" applyNumberFormat="1" applyFill="1" applyBorder="1"/>
    <xf numFmtId="42" fontId="30" fillId="8" borderId="31" xfId="0" applyNumberFormat="1" applyFont="1" applyFill="1" applyBorder="1"/>
    <xf numFmtId="1" fontId="0" fillId="0" borderId="0" xfId="0" applyNumberFormat="1"/>
    <xf numFmtId="0" fontId="30" fillId="0" borderId="35" xfId="0" applyFont="1" applyFill="1" applyBorder="1"/>
    <xf numFmtId="42" fontId="30" fillId="0" borderId="35" xfId="0" applyNumberFormat="1" applyFont="1" applyFill="1" applyBorder="1"/>
    <xf numFmtId="42" fontId="30" fillId="8" borderId="35" xfId="0" applyNumberFormat="1" applyFont="1" applyFill="1" applyBorder="1"/>
    <xf numFmtId="42" fontId="0" fillId="0" borderId="0" xfId="0" applyNumberFormat="1"/>
    <xf numFmtId="0" fontId="50" fillId="0" borderId="29" xfId="0" applyFont="1" applyBorder="1"/>
    <xf numFmtId="42" fontId="50" fillId="0" borderId="29" xfId="0" applyNumberFormat="1" applyFont="1" applyFill="1" applyBorder="1"/>
    <xf numFmtId="167" fontId="0" fillId="0" borderId="0" xfId="0" applyNumberFormat="1"/>
    <xf numFmtId="44" fontId="0" fillId="8" borderId="31" xfId="182" applyFont="1" applyFill="1" applyBorder="1"/>
    <xf numFmtId="44" fontId="0" fillId="0" borderId="31" xfId="182" applyFont="1" applyBorder="1"/>
    <xf numFmtId="43" fontId="0" fillId="0" borderId="31" xfId="3" applyFont="1" applyBorder="1"/>
    <xf numFmtId="0" fontId="44" fillId="0" borderId="0" xfId="0" applyFont="1" applyBorder="1"/>
    <xf numFmtId="2" fontId="0" fillId="0" borderId="0" xfId="0" applyNumberFormat="1" applyBorder="1" applyAlignment="1">
      <alignment horizontal="center"/>
    </xf>
    <xf numFmtId="2" fontId="0" fillId="0" borderId="0" xfId="0" applyNumberFormat="1" applyBorder="1"/>
    <xf numFmtId="0" fontId="0" fillId="0" borderId="0" xfId="0" applyFont="1" applyBorder="1"/>
    <xf numFmtId="42" fontId="0" fillId="0" borderId="0" xfId="0" applyNumberFormat="1" applyFont="1" applyBorder="1"/>
    <xf numFmtId="0" fontId="44" fillId="0" borderId="0" xfId="0" applyFont="1"/>
    <xf numFmtId="0" fontId="0" fillId="0" borderId="31" xfId="0" applyFont="1" applyBorder="1"/>
    <xf numFmtId="42" fontId="0" fillId="8" borderId="31" xfId="0" applyNumberFormat="1" applyFont="1" applyFill="1" applyBorder="1"/>
    <xf numFmtId="9" fontId="0" fillId="8" borderId="31" xfId="183" applyFont="1" applyFill="1" applyBorder="1"/>
    <xf numFmtId="0" fontId="0" fillId="0" borderId="34" xfId="0" applyFont="1" applyBorder="1"/>
    <xf numFmtId="42" fontId="0" fillId="8" borderId="34" xfId="0" applyNumberFormat="1" applyFont="1" applyFill="1" applyBorder="1"/>
    <xf numFmtId="9" fontId="30" fillId="8" borderId="0" xfId="0" applyNumberFormat="1" applyFont="1" applyFill="1" applyBorder="1"/>
    <xf numFmtId="0" fontId="30" fillId="0" borderId="36" xfId="0" applyFont="1" applyBorder="1"/>
    <xf numFmtId="42" fontId="0" fillId="0" borderId="36" xfId="0" applyNumberFormat="1" applyBorder="1"/>
    <xf numFmtId="3" fontId="0" fillId="8" borderId="31" xfId="0" applyNumberFormat="1" applyFill="1" applyBorder="1" applyProtection="1">
      <protection locked="0"/>
    </xf>
    <xf numFmtId="9" fontId="0" fillId="8" borderId="31" xfId="183" applyFont="1" applyFill="1" applyBorder="1" applyProtection="1">
      <protection locked="0"/>
    </xf>
    <xf numFmtId="10" fontId="30" fillId="8" borderId="36" xfId="0" applyNumberFormat="1" applyFont="1" applyFill="1" applyBorder="1"/>
    <xf numFmtId="0" fontId="30" fillId="0" borderId="0" xfId="0" applyFont="1" applyBorder="1"/>
    <xf numFmtId="169" fontId="0" fillId="0" borderId="31" xfId="182" applyNumberFormat="1" applyFont="1" applyBorder="1"/>
    <xf numFmtId="42" fontId="0" fillId="8" borderId="34" xfId="0" applyNumberFormat="1" applyFill="1" applyBorder="1"/>
    <xf numFmtId="2" fontId="30" fillId="0" borderId="34" xfId="0" applyNumberFormat="1" applyFont="1" applyBorder="1"/>
    <xf numFmtId="0" fontId="30" fillId="0" borderId="34" xfId="0" applyFont="1" applyBorder="1"/>
    <xf numFmtId="42" fontId="30" fillId="0" borderId="37" xfId="0" applyNumberFormat="1" applyFont="1" applyBorder="1"/>
    <xf numFmtId="42" fontId="30" fillId="0" borderId="34" xfId="0" applyNumberFormat="1" applyFont="1" applyFill="1" applyBorder="1"/>
    <xf numFmtId="42" fontId="30" fillId="0" borderId="34" xfId="0" applyNumberFormat="1" applyFont="1" applyBorder="1"/>
    <xf numFmtId="0" fontId="30" fillId="0" borderId="36" xfId="0" applyFont="1" applyFill="1" applyBorder="1"/>
    <xf numFmtId="42" fontId="30" fillId="0" borderId="38" xfId="0" applyNumberFormat="1" applyFont="1" applyBorder="1"/>
    <xf numFmtId="42" fontId="30" fillId="0" borderId="36" xfId="0" applyNumberFormat="1" applyFont="1" applyFill="1" applyBorder="1"/>
    <xf numFmtId="2" fontId="30" fillId="0" borderId="36" xfId="0" applyNumberFormat="1" applyFont="1" applyBorder="1"/>
    <xf numFmtId="42" fontId="30" fillId="8" borderId="36" xfId="0" applyNumberFormat="1" applyFont="1" applyFill="1" applyBorder="1"/>
    <xf numFmtId="2" fontId="30" fillId="8" borderId="31" xfId="0" applyNumberFormat="1" applyFont="1" applyFill="1" applyBorder="1"/>
    <xf numFmtId="42" fontId="0" fillId="0" borderId="0" xfId="0" applyNumberFormat="1" applyFill="1" applyBorder="1"/>
    <xf numFmtId="0" fontId="0" fillId="0" borderId="31" xfId="0" quotePrefix="1" applyFill="1" applyBorder="1"/>
    <xf numFmtId="2" fontId="30" fillId="0" borderId="0" xfId="0" applyNumberFormat="1" applyFont="1" applyFill="1" applyBorder="1"/>
    <xf numFmtId="0" fontId="0" fillId="0" borderId="32" xfId="0" applyFill="1" applyBorder="1"/>
    <xf numFmtId="42" fontId="30" fillId="0" borderId="0" xfId="0" applyNumberFormat="1" applyFont="1" applyBorder="1"/>
    <xf numFmtId="0" fontId="48" fillId="0" borderId="0" xfId="0" applyFont="1" applyFill="1"/>
    <xf numFmtId="42" fontId="51" fillId="0" borderId="31" xfId="0" applyNumberFormat="1" applyFont="1" applyBorder="1"/>
    <xf numFmtId="42" fontId="50" fillId="0" borderId="0" xfId="0" applyNumberFormat="1" applyFont="1" applyFill="1" applyBorder="1"/>
    <xf numFmtId="0" fontId="52" fillId="0" borderId="0" xfId="0" applyFont="1"/>
    <xf numFmtId="0" fontId="53" fillId="0" borderId="0" xfId="0" applyFont="1"/>
    <xf numFmtId="42" fontId="30" fillId="0" borderId="29" xfId="0" applyNumberFormat="1" applyFont="1" applyFill="1" applyBorder="1"/>
    <xf numFmtId="42" fontId="30" fillId="8" borderId="29" xfId="0" applyNumberFormat="1" applyFont="1" applyFill="1" applyBorder="1"/>
    <xf numFmtId="2" fontId="0" fillId="0" borderId="0" xfId="0" applyNumberFormat="1" applyFill="1"/>
    <xf numFmtId="0" fontId="0" fillId="0" borderId="0" xfId="0" applyFont="1" applyFill="1"/>
    <xf numFmtId="0" fontId="49" fillId="0" borderId="29" xfId="0" applyFont="1" applyBorder="1"/>
    <xf numFmtId="42" fontId="49" fillId="8" borderId="29" xfId="0" applyNumberFormat="1" applyFont="1" applyFill="1" applyBorder="1"/>
    <xf numFmtId="0" fontId="0" fillId="0" borderId="39" xfId="0" applyBorder="1"/>
    <xf numFmtId="0" fontId="0" fillId="0" borderId="40" xfId="0" applyBorder="1"/>
    <xf numFmtId="0" fontId="30" fillId="0" borderId="40" xfId="0" applyFont="1" applyBorder="1"/>
    <xf numFmtId="0" fontId="0" fillId="0" borderId="41" xfId="0" applyBorder="1"/>
    <xf numFmtId="42" fontId="0" fillId="8" borderId="42" xfId="0" applyNumberFormat="1" applyFill="1" applyBorder="1"/>
    <xf numFmtId="0" fontId="0" fillId="0" borderId="39" xfId="0" applyFont="1" applyBorder="1"/>
    <xf numFmtId="0" fontId="0" fillId="0" borderId="40" xfId="0" applyFont="1" applyBorder="1"/>
    <xf numFmtId="0" fontId="30" fillId="0" borderId="34" xfId="0" applyFont="1" applyBorder="1" applyAlignment="1">
      <alignment horizontal="center"/>
    </xf>
    <xf numFmtId="0" fontId="30" fillId="0" borderId="43" xfId="0" applyFont="1" applyBorder="1" applyAlignment="1">
      <alignment horizontal="center"/>
    </xf>
    <xf numFmtId="0" fontId="30" fillId="0" borderId="42" xfId="0" applyFont="1" applyBorder="1"/>
    <xf numFmtId="0" fontId="30" fillId="0" borderId="41" xfId="0" applyFont="1" applyBorder="1" applyAlignment="1">
      <alignment horizontal="center"/>
    </xf>
    <xf numFmtId="41" fontId="0" fillId="0" borderId="43" xfId="0" applyNumberFormat="1" applyBorder="1"/>
    <xf numFmtId="41" fontId="0" fillId="0" borderId="34" xfId="0" applyNumberFormat="1" applyBorder="1"/>
    <xf numFmtId="0" fontId="0" fillId="0" borderId="42" xfId="0" applyBorder="1"/>
    <xf numFmtId="41" fontId="0" fillId="0" borderId="41" xfId="0" applyNumberFormat="1" applyBorder="1"/>
    <xf numFmtId="41" fontId="0" fillId="0" borderId="42" xfId="0" applyNumberFormat="1" applyBorder="1"/>
    <xf numFmtId="0" fontId="0" fillId="0" borderId="36" xfId="0" applyFill="1" applyBorder="1"/>
    <xf numFmtId="41" fontId="0" fillId="0" borderId="44" xfId="0" applyNumberFormat="1" applyBorder="1"/>
    <xf numFmtId="41" fontId="0" fillId="0" borderId="36" xfId="0" applyNumberFormat="1" applyBorder="1"/>
    <xf numFmtId="0" fontId="0" fillId="0" borderId="34" xfId="0" applyFill="1" applyBorder="1"/>
    <xf numFmtId="41" fontId="0" fillId="0" borderId="37" xfId="0" applyNumberFormat="1" applyBorder="1"/>
    <xf numFmtId="41" fontId="0" fillId="0" borderId="38" xfId="0" applyNumberFormat="1" applyBorder="1"/>
    <xf numFmtId="41" fontId="0" fillId="0" borderId="31" xfId="0" applyNumberFormat="1" applyBorder="1"/>
    <xf numFmtId="41" fontId="0" fillId="0" borderId="0" xfId="0" applyNumberFormat="1"/>
    <xf numFmtId="0" fontId="0" fillId="0" borderId="31" xfId="0" applyFill="1" applyBorder="1"/>
    <xf numFmtId="0" fontId="30" fillId="0" borderId="34" xfId="0" applyFont="1" applyFill="1" applyBorder="1"/>
    <xf numFmtId="41" fontId="30" fillId="0" borderId="37" xfId="0" applyNumberFormat="1" applyFont="1" applyBorder="1"/>
    <xf numFmtId="41" fontId="30" fillId="0" borderId="34" xfId="0" applyNumberFormat="1" applyFont="1" applyBorder="1"/>
    <xf numFmtId="41" fontId="30" fillId="0" borderId="38" xfId="0" applyNumberFormat="1" applyFont="1" applyBorder="1"/>
    <xf numFmtId="41" fontId="30" fillId="0" borderId="36" xfId="0" applyNumberFormat="1" applyFont="1" applyBorder="1"/>
    <xf numFmtId="0" fontId="0" fillId="0" borderId="42" xfId="0" applyFill="1" applyBorder="1"/>
    <xf numFmtId="41" fontId="0" fillId="0" borderId="45" xfId="0" applyNumberFormat="1" applyBorder="1"/>
    <xf numFmtId="41" fontId="30" fillId="0" borderId="35" xfId="0" applyNumberFormat="1" applyFont="1" applyBorder="1"/>
    <xf numFmtId="41" fontId="30" fillId="0" borderId="46" xfId="0" applyNumberFormat="1" applyFont="1" applyBorder="1"/>
    <xf numFmtId="0" fontId="48" fillId="8" borderId="0" xfId="0" applyFont="1" applyFill="1"/>
    <xf numFmtId="0" fontId="30" fillId="0" borderId="31" xfId="0" applyFont="1" applyFill="1" applyBorder="1"/>
    <xf numFmtId="0" fontId="0" fillId="0" borderId="31" xfId="0" applyFill="1" applyBorder="1" applyAlignment="1">
      <alignment horizontal="left"/>
    </xf>
    <xf numFmtId="0" fontId="0" fillId="0" borderId="0" xfId="0" applyFill="1" applyBorder="1" applyAlignment="1">
      <alignment horizontal="left"/>
    </xf>
    <xf numFmtId="0" fontId="44" fillId="0" borderId="31" xfId="0" applyFont="1" applyFill="1" applyBorder="1"/>
    <xf numFmtId="2" fontId="0" fillId="0" borderId="31" xfId="0" applyNumberFormat="1" applyFill="1" applyBorder="1" applyAlignment="1">
      <alignment horizontal="center"/>
    </xf>
    <xf numFmtId="42" fontId="0" fillId="0" borderId="31" xfId="0" applyNumberFormat="1" applyFont="1" applyFill="1" applyBorder="1"/>
    <xf numFmtId="0" fontId="0" fillId="8" borderId="0" xfId="0" applyFill="1" applyBorder="1"/>
    <xf numFmtId="2" fontId="0" fillId="0" borderId="31" xfId="0" applyNumberFormat="1" applyBorder="1" applyAlignment="1">
      <alignment horizontal="center"/>
    </xf>
    <xf numFmtId="42" fontId="0" fillId="0" borderId="31" xfId="0" applyNumberFormat="1" applyFont="1" applyBorder="1"/>
    <xf numFmtId="44" fontId="0" fillId="8" borderId="0" xfId="0" applyNumberFormat="1" applyFill="1"/>
    <xf numFmtId="0" fontId="54" fillId="0" borderId="0" xfId="0" applyFont="1" applyAlignment="1">
      <alignment horizontal="left" vertical="center" wrapText="1"/>
    </xf>
    <xf numFmtId="0" fontId="55" fillId="0" borderId="0" xfId="0" applyFont="1" applyAlignment="1">
      <alignment vertical="center" wrapText="1"/>
    </xf>
    <xf numFmtId="0" fontId="45" fillId="0" borderId="0" xfId="0" applyFont="1" applyAlignment="1">
      <alignment horizontal="justify" vertical="center"/>
    </xf>
    <xf numFmtId="0" fontId="57" fillId="0" borderId="0" xfId="0" applyFont="1" applyAlignment="1">
      <alignment horizontal="justify" vertical="center"/>
    </xf>
    <xf numFmtId="0" fontId="0" fillId="0" borderId="0" xfId="0" applyAlignment="1">
      <alignment horizontal="left"/>
    </xf>
    <xf numFmtId="0" fontId="58" fillId="10" borderId="52" xfId="0" applyFont="1" applyFill="1" applyBorder="1" applyAlignment="1">
      <alignment horizontal="center" vertical="center"/>
    </xf>
    <xf numFmtId="0" fontId="58" fillId="10" borderId="53" xfId="0" applyFont="1" applyFill="1" applyBorder="1" applyAlignment="1">
      <alignment horizontal="center" vertical="center"/>
    </xf>
    <xf numFmtId="0" fontId="59" fillId="14" borderId="54" xfId="0" applyFont="1" applyFill="1" applyBorder="1" applyAlignment="1">
      <alignment wrapText="1"/>
    </xf>
    <xf numFmtId="0" fontId="59" fillId="14" borderId="55" xfId="0" applyFont="1" applyFill="1" applyBorder="1" applyAlignment="1">
      <alignment horizontal="left" wrapText="1"/>
    </xf>
    <xf numFmtId="0" fontId="59" fillId="14" borderId="56" xfId="0" applyFont="1" applyFill="1" applyBorder="1" applyAlignment="1">
      <alignment wrapText="1"/>
    </xf>
    <xf numFmtId="0" fontId="59" fillId="14" borderId="57" xfId="0" applyFont="1" applyFill="1" applyBorder="1" applyAlignment="1">
      <alignment horizontal="left" wrapText="1"/>
    </xf>
    <xf numFmtId="9" fontId="13" fillId="8" borderId="23" xfId="0" applyNumberFormat="1" applyFont="1" applyFill="1" applyBorder="1" applyAlignment="1">
      <alignment horizontal="left" vertical="top" wrapText="1"/>
    </xf>
    <xf numFmtId="0" fontId="0" fillId="0" borderId="58" xfId="0" applyFill="1" applyBorder="1"/>
    <xf numFmtId="166" fontId="33" fillId="0" borderId="58" xfId="0" applyNumberFormat="1" applyFont="1" applyFill="1" applyBorder="1"/>
    <xf numFmtId="44" fontId="33" fillId="8" borderId="58" xfId="0" applyNumberFormat="1" applyFont="1" applyFill="1" applyBorder="1"/>
    <xf numFmtId="2" fontId="33" fillId="0" borderId="58" xfId="0" applyNumberFormat="1" applyFont="1" applyFill="1" applyBorder="1"/>
    <xf numFmtId="0" fontId="55" fillId="0" borderId="0" xfId="0" applyFont="1"/>
    <xf numFmtId="0" fontId="60" fillId="0" borderId="0" xfId="0" applyFont="1"/>
    <xf numFmtId="0" fontId="65" fillId="0" borderId="0" xfId="0" applyFont="1" applyAlignment="1">
      <alignment horizontal="justify"/>
    </xf>
    <xf numFmtId="0" fontId="66" fillId="0" borderId="0" xfId="0" applyFont="1" applyAlignment="1">
      <alignment horizontal="justify"/>
    </xf>
    <xf numFmtId="0" fontId="67" fillId="0" borderId="0" xfId="0" applyFont="1" applyAlignment="1">
      <alignment horizontal="justify" vertical="top"/>
    </xf>
    <xf numFmtId="0" fontId="69" fillId="0" borderId="0" xfId="0" applyFont="1" applyAlignment="1">
      <alignment horizontal="justify" vertical="top"/>
    </xf>
    <xf numFmtId="0" fontId="69" fillId="0" borderId="0" xfId="0" applyFont="1" applyAlignment="1">
      <alignment horizontal="justify" vertical="top" wrapText="1"/>
    </xf>
    <xf numFmtId="0" fontId="55" fillId="4" borderId="47" xfId="0" applyFont="1" applyFill="1" applyBorder="1" applyAlignment="1">
      <alignment horizontal="left" vertical="top" wrapText="1"/>
    </xf>
    <xf numFmtId="0" fontId="54" fillId="13" borderId="47" xfId="0" applyFont="1" applyFill="1" applyBorder="1" applyAlignment="1">
      <alignment vertical="top" wrapText="1"/>
    </xf>
    <xf numFmtId="0" fontId="54" fillId="13" borderId="47" xfId="0" applyFont="1" applyFill="1" applyBorder="1" applyAlignment="1">
      <alignment horizontal="justify" vertical="top"/>
    </xf>
    <xf numFmtId="0" fontId="55" fillId="13" borderId="47" xfId="0" applyFont="1" applyFill="1" applyBorder="1"/>
    <xf numFmtId="0" fontId="71" fillId="0" borderId="0" xfId="0" applyFont="1"/>
    <xf numFmtId="0" fontId="72" fillId="7" borderId="23" xfId="0" applyFont="1" applyFill="1" applyBorder="1" applyAlignment="1">
      <alignment horizontal="left" vertical="top" wrapText="1"/>
    </xf>
    <xf numFmtId="4" fontId="72" fillId="7" borderId="23" xfId="0" applyNumberFormat="1" applyFont="1" applyFill="1" applyBorder="1" applyAlignment="1">
      <alignment horizontal="left" vertical="top" wrapText="1"/>
    </xf>
    <xf numFmtId="4" fontId="72" fillId="7" borderId="20" xfId="0" applyNumberFormat="1" applyFont="1" applyFill="1" applyBorder="1" applyAlignment="1">
      <alignment horizontal="left" vertical="top" wrapText="1"/>
    </xf>
    <xf numFmtId="0" fontId="72" fillId="7" borderId="23" xfId="0" applyFont="1" applyFill="1" applyBorder="1" applyAlignment="1">
      <alignment horizontal="center" vertical="top" wrapText="1"/>
    </xf>
    <xf numFmtId="0" fontId="71" fillId="7" borderId="0" xfId="0" applyFont="1" applyFill="1" applyAlignment="1">
      <alignment horizontal="left"/>
    </xf>
    <xf numFmtId="0" fontId="71" fillId="8" borderId="23" xfId="0" applyFont="1" applyFill="1" applyBorder="1" applyAlignment="1">
      <alignment vertical="top" wrapText="1"/>
    </xf>
    <xf numFmtId="4" fontId="71" fillId="8" borderId="23" xfId="0" applyNumberFormat="1" applyFont="1" applyFill="1" applyBorder="1" applyAlignment="1">
      <alignment horizontal="left" vertical="top" wrapText="1"/>
    </xf>
    <xf numFmtId="0" fontId="71" fillId="8" borderId="0" xfId="0" applyFont="1" applyFill="1"/>
    <xf numFmtId="0" fontId="71" fillId="0" borderId="23" xfId="0" applyFont="1" applyBorder="1" applyAlignment="1">
      <alignment vertical="top" wrapText="1"/>
    </xf>
    <xf numFmtId="0" fontId="71" fillId="0" borderId="0" xfId="0" applyFont="1" applyAlignment="1">
      <alignment horizontal="left"/>
    </xf>
    <xf numFmtId="4" fontId="71" fillId="0" borderId="0" xfId="0" applyNumberFormat="1" applyFont="1" applyFill="1" applyAlignment="1">
      <alignment horizontal="left"/>
    </xf>
    <xf numFmtId="0" fontId="60" fillId="7" borderId="0" xfId="0" applyFont="1" applyFill="1" applyAlignment="1">
      <alignment horizontal="left"/>
    </xf>
    <xf numFmtId="0" fontId="60" fillId="7" borderId="0" xfId="0" applyFont="1" applyFill="1"/>
    <xf numFmtId="166" fontId="73" fillId="0" borderId="0" xfId="0" applyNumberFormat="1" applyFont="1"/>
    <xf numFmtId="0" fontId="60" fillId="8" borderId="23" xfId="0" applyFont="1" applyFill="1" applyBorder="1" applyAlignment="1">
      <alignment vertical="top" wrapText="1"/>
    </xf>
    <xf numFmtId="0" fontId="60" fillId="0" borderId="23" xfId="0" applyFont="1" applyBorder="1" applyAlignment="1">
      <alignment vertical="top" wrapText="1"/>
    </xf>
    <xf numFmtId="0" fontId="60" fillId="8" borderId="0" xfId="0" applyFont="1" applyFill="1"/>
    <xf numFmtId="0" fontId="74" fillId="0" borderId="0" xfId="0" applyFont="1"/>
    <xf numFmtId="0" fontId="65" fillId="8" borderId="23" xfId="0" applyFont="1" applyFill="1" applyBorder="1" applyAlignment="1">
      <alignment horizontal="center" vertical="top" wrapText="1"/>
    </xf>
    <xf numFmtId="0" fontId="65" fillId="0" borderId="23" xfId="0" applyFont="1" applyBorder="1" applyAlignment="1">
      <alignment horizontal="center" vertical="center" wrapText="1"/>
    </xf>
    <xf numFmtId="0" fontId="65" fillId="0" borderId="23" xfId="0" applyFont="1" applyBorder="1" applyAlignment="1">
      <alignment horizontal="center" wrapText="1"/>
    </xf>
    <xf numFmtId="0" fontId="65" fillId="0" borderId="0" xfId="0" applyFont="1" applyAlignment="1">
      <alignment horizontal="center"/>
    </xf>
    <xf numFmtId="0" fontId="55" fillId="8" borderId="23" xfId="0" applyFont="1" applyFill="1" applyBorder="1" applyAlignment="1">
      <alignment horizontal="left" vertical="top"/>
    </xf>
    <xf numFmtId="10" fontId="55" fillId="0" borderId="23" xfId="0" applyNumberFormat="1" applyFont="1" applyBorder="1"/>
    <xf numFmtId="0" fontId="55" fillId="0" borderId="23" xfId="0" applyFont="1" applyBorder="1"/>
    <xf numFmtId="0" fontId="55" fillId="8" borderId="23" xfId="0" applyFont="1" applyFill="1" applyBorder="1" applyAlignment="1">
      <alignment vertical="top" wrapText="1"/>
    </xf>
    <xf numFmtId="0" fontId="55" fillId="8" borderId="0" xfId="0" applyFont="1" applyFill="1"/>
    <xf numFmtId="0" fontId="55" fillId="0" borderId="0" xfId="0" applyFont="1" applyAlignment="1">
      <alignment horizontal="justify" vertical="center"/>
    </xf>
    <xf numFmtId="0" fontId="55" fillId="0" borderId="0" xfId="0" applyFont="1" applyAlignment="1">
      <alignment vertical="center"/>
    </xf>
    <xf numFmtId="0" fontId="55" fillId="0" borderId="0" xfId="0" applyFont="1" applyAlignment="1">
      <alignment horizontal="center" vertical="center"/>
    </xf>
    <xf numFmtId="0" fontId="65" fillId="0" borderId="0" xfId="0" applyFont="1"/>
    <xf numFmtId="0" fontId="55" fillId="4" borderId="47" xfId="0" applyFont="1" applyFill="1" applyBorder="1" applyAlignment="1">
      <alignment horizontal="left" vertical="top" wrapText="1"/>
    </xf>
    <xf numFmtId="0" fontId="23" fillId="10" borderId="6" xfId="0" applyFont="1" applyFill="1" applyBorder="1" applyAlignment="1">
      <alignment horizontal="center" vertical="top" wrapText="1"/>
    </xf>
    <xf numFmtId="0" fontId="23" fillId="10" borderId="9" xfId="0" applyFont="1" applyFill="1" applyBorder="1" applyAlignment="1">
      <alignment horizontal="center" vertical="top" wrapText="1"/>
    </xf>
    <xf numFmtId="0" fontId="23" fillId="10" borderId="10" xfId="0" applyFont="1" applyFill="1" applyBorder="1" applyAlignment="1">
      <alignment horizontal="center" vertical="top" wrapText="1"/>
    </xf>
    <xf numFmtId="0" fontId="23" fillId="10" borderId="11" xfId="0" applyFont="1" applyFill="1" applyBorder="1" applyAlignment="1">
      <alignment horizontal="center" vertical="top" wrapText="1"/>
    </xf>
    <xf numFmtId="0" fontId="23" fillId="10" borderId="0" xfId="0" applyFont="1" applyFill="1" applyBorder="1" applyAlignment="1">
      <alignment horizontal="center" vertical="top" wrapText="1"/>
    </xf>
    <xf numFmtId="0" fontId="23" fillId="10" borderId="12" xfId="0" applyFont="1" applyFill="1" applyBorder="1" applyAlignment="1">
      <alignment horizontal="center" vertical="top" wrapText="1"/>
    </xf>
    <xf numFmtId="0" fontId="11" fillId="10" borderId="8" xfId="0" applyFont="1" applyFill="1" applyBorder="1" applyAlignment="1">
      <alignment horizontal="center" vertical="top" wrapText="1"/>
    </xf>
    <xf numFmtId="0" fontId="11" fillId="10" borderId="13" xfId="0" applyFont="1" applyFill="1" applyBorder="1" applyAlignment="1">
      <alignment horizontal="center" vertical="top" wrapText="1"/>
    </xf>
    <xf numFmtId="0" fontId="11" fillId="10" borderId="14" xfId="0" applyFont="1" applyFill="1" applyBorder="1" applyAlignment="1">
      <alignment horizontal="center" vertical="top" wrapText="1"/>
    </xf>
    <xf numFmtId="0" fontId="14" fillId="7" borderId="20" xfId="0" applyFont="1" applyFill="1" applyBorder="1" applyAlignment="1">
      <alignment horizontal="center" vertical="top" wrapText="1"/>
    </xf>
    <xf numFmtId="0" fontId="14" fillId="7" borderId="24" xfId="0" applyFont="1" applyFill="1" applyBorder="1" applyAlignment="1">
      <alignment horizontal="center" vertical="top" wrapText="1"/>
    </xf>
    <xf numFmtId="0" fontId="5" fillId="10" borderId="2" xfId="0" applyFont="1" applyFill="1" applyBorder="1" applyAlignment="1">
      <alignment horizontal="center" vertical="top" wrapText="1"/>
    </xf>
    <xf numFmtId="0" fontId="4" fillId="10" borderId="3" xfId="0" applyFont="1" applyFill="1" applyBorder="1" applyAlignment="1">
      <alignment horizontal="center" vertical="top" wrapText="1"/>
    </xf>
    <xf numFmtId="0" fontId="4" fillId="10" borderId="4" xfId="0" applyFont="1" applyFill="1" applyBorder="1" applyAlignment="1">
      <alignment horizontal="center" vertical="top" wrapText="1"/>
    </xf>
    <xf numFmtId="0" fontId="6" fillId="7" borderId="20" xfId="0" applyFont="1" applyFill="1" applyBorder="1" applyAlignment="1">
      <alignment horizontal="center" vertical="top" wrapText="1"/>
    </xf>
    <xf numFmtId="0" fontId="6" fillId="7" borderId="24" xfId="0" applyFont="1" applyFill="1" applyBorder="1" applyAlignment="1">
      <alignment horizontal="center" vertical="top" wrapText="1"/>
    </xf>
    <xf numFmtId="0" fontId="6" fillId="7" borderId="23" xfId="0" applyFont="1" applyFill="1" applyBorder="1" applyAlignment="1">
      <alignment horizontal="center" vertical="top" wrapText="1"/>
    </xf>
    <xf numFmtId="4" fontId="6" fillId="7" borderId="23" xfId="0" applyNumberFormat="1" applyFont="1" applyFill="1" applyBorder="1" applyAlignment="1">
      <alignment horizontal="center" vertical="top" wrapText="1"/>
    </xf>
    <xf numFmtId="0" fontId="6" fillId="7" borderId="23" xfId="0" applyFont="1" applyFill="1" applyBorder="1" applyAlignment="1">
      <alignment horizontal="left" vertical="top" wrapText="1"/>
    </xf>
    <xf numFmtId="0" fontId="14" fillId="10" borderId="2" xfId="0" applyFont="1" applyFill="1" applyBorder="1" applyAlignment="1">
      <alignment horizontal="center" vertical="top" wrapText="1"/>
    </xf>
    <xf numFmtId="0" fontId="14" fillId="10" borderId="3" xfId="0" applyFont="1" applyFill="1" applyBorder="1" applyAlignment="1">
      <alignment horizontal="center" vertical="top" wrapText="1"/>
    </xf>
    <xf numFmtId="0" fontId="14" fillId="10" borderId="4" xfId="0" applyFont="1" applyFill="1" applyBorder="1" applyAlignment="1">
      <alignment horizontal="center" vertical="top" wrapText="1"/>
    </xf>
    <xf numFmtId="0" fontId="6" fillId="6" borderId="15"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5" xfId="0" applyFont="1" applyFill="1" applyBorder="1" applyAlignment="1">
      <alignment horizontal="center" vertical="top" wrapText="1"/>
    </xf>
    <xf numFmtId="0" fontId="6" fillId="6" borderId="20" xfId="0" applyFont="1" applyFill="1" applyBorder="1" applyAlignment="1">
      <alignment horizontal="center" vertical="top" wrapText="1"/>
    </xf>
    <xf numFmtId="0" fontId="17" fillId="10" borderId="15" xfId="0" applyFont="1" applyFill="1" applyBorder="1" applyAlignment="1">
      <alignment horizontal="center" vertical="top" wrapText="1"/>
    </xf>
    <xf numFmtId="0" fontId="17" fillId="10" borderId="23" xfId="0" applyFont="1" applyFill="1" applyBorder="1" applyAlignment="1">
      <alignment horizontal="center" vertical="top" wrapText="1"/>
    </xf>
    <xf numFmtId="3" fontId="6" fillId="6" borderId="15" xfId="0" applyNumberFormat="1" applyFont="1" applyFill="1" applyBorder="1" applyAlignment="1">
      <alignment horizontal="center" vertical="top" wrapText="1"/>
    </xf>
    <xf numFmtId="3" fontId="6" fillId="6" borderId="20" xfId="0" applyNumberFormat="1" applyFont="1" applyFill="1" applyBorder="1" applyAlignment="1">
      <alignment horizontal="center" vertical="top" wrapText="1"/>
    </xf>
    <xf numFmtId="0" fontId="6" fillId="7" borderId="15" xfId="0" applyFont="1" applyFill="1" applyBorder="1" applyAlignment="1">
      <alignment horizontal="center" vertical="top" wrapText="1"/>
    </xf>
    <xf numFmtId="0" fontId="6" fillId="7" borderId="15" xfId="0" applyFont="1" applyFill="1" applyBorder="1" applyAlignment="1">
      <alignment horizontal="left" vertical="top" wrapText="1"/>
    </xf>
    <xf numFmtId="0" fontId="17" fillId="10" borderId="26" xfId="0" applyFont="1" applyFill="1" applyBorder="1" applyAlignment="1">
      <alignment horizontal="center" vertical="top" wrapText="1"/>
    </xf>
    <xf numFmtId="0" fontId="17" fillId="10" borderId="27" xfId="0" applyFont="1" applyFill="1" applyBorder="1" applyAlignment="1">
      <alignment horizontal="center" vertical="top" wrapText="1"/>
    </xf>
    <xf numFmtId="0" fontId="17" fillId="10" borderId="28" xfId="0" applyFont="1" applyFill="1" applyBorder="1" applyAlignment="1">
      <alignment horizontal="center" vertical="top" wrapText="1"/>
    </xf>
    <xf numFmtId="0" fontId="6" fillId="7" borderId="1" xfId="0" applyFont="1" applyFill="1" applyBorder="1" applyAlignment="1">
      <alignment horizontal="center" vertical="top" wrapText="1"/>
    </xf>
    <xf numFmtId="0" fontId="17" fillId="10" borderId="1" xfId="0" applyFont="1" applyFill="1" applyBorder="1" applyAlignment="1">
      <alignment horizontal="center" vertical="top" wrapText="1"/>
    </xf>
    <xf numFmtId="4" fontId="6" fillId="7" borderId="1" xfId="0" applyNumberFormat="1" applyFont="1" applyFill="1" applyBorder="1" applyAlignment="1">
      <alignment horizontal="center" vertical="top" wrapText="1"/>
    </xf>
    <xf numFmtId="0" fontId="6" fillId="7" borderId="1" xfId="0" applyFont="1" applyFill="1" applyBorder="1" applyAlignment="1">
      <alignment horizontal="left" vertical="top" wrapText="1"/>
    </xf>
    <xf numFmtId="0" fontId="6" fillId="7" borderId="22" xfId="0" applyFont="1" applyFill="1" applyBorder="1" applyAlignment="1">
      <alignment horizontal="center" vertical="top" wrapText="1"/>
    </xf>
    <xf numFmtId="0" fontId="18" fillId="10" borderId="1" xfId="0" applyFont="1" applyFill="1" applyBorder="1" applyAlignment="1">
      <alignment horizontal="center" vertical="top" wrapText="1"/>
    </xf>
    <xf numFmtId="0" fontId="18" fillId="10" borderId="23" xfId="0" applyFont="1" applyFill="1" applyBorder="1" applyAlignment="1">
      <alignment horizontal="center" vertical="top" wrapText="1"/>
    </xf>
    <xf numFmtId="4" fontId="6" fillId="7" borderId="1" xfId="0" applyNumberFormat="1" applyFont="1" applyFill="1" applyBorder="1" applyAlignment="1">
      <alignment horizontal="center" vertical="center" wrapText="1"/>
    </xf>
    <xf numFmtId="0" fontId="6" fillId="7" borderId="20" xfId="0" applyFont="1" applyFill="1" applyBorder="1" applyAlignment="1">
      <alignment horizontal="left" vertical="top" wrapText="1"/>
    </xf>
    <xf numFmtId="0" fontId="6" fillId="7" borderId="24" xfId="0" applyFont="1" applyFill="1" applyBorder="1" applyAlignment="1">
      <alignment horizontal="left" vertical="top" wrapText="1"/>
    </xf>
    <xf numFmtId="0" fontId="17" fillId="10" borderId="5" xfId="0" applyFont="1" applyFill="1" applyBorder="1" applyAlignment="1">
      <alignment horizontal="center" vertical="top" wrapText="1"/>
    </xf>
    <xf numFmtId="0" fontId="70" fillId="10" borderId="29" xfId="0" applyFont="1" applyFill="1" applyBorder="1" applyAlignment="1">
      <alignment horizontal="center" vertical="top" wrapText="1"/>
    </xf>
    <xf numFmtId="0" fontId="70" fillId="10" borderId="30" xfId="0" applyFont="1" applyFill="1" applyBorder="1" applyAlignment="1">
      <alignment horizontal="center" vertical="top" wrapText="1"/>
    </xf>
    <xf numFmtId="0" fontId="72" fillId="7" borderId="23" xfId="0" applyFont="1" applyFill="1" applyBorder="1" applyAlignment="1">
      <alignment horizontal="left" vertical="top" wrapText="1"/>
    </xf>
    <xf numFmtId="4" fontId="72" fillId="7" borderId="23" xfId="0" applyNumberFormat="1" applyFont="1" applyFill="1" applyBorder="1" applyAlignment="1">
      <alignment horizontal="left" vertical="top" wrapText="1"/>
    </xf>
    <xf numFmtId="4" fontId="72" fillId="7" borderId="20" xfId="0" applyNumberFormat="1" applyFont="1" applyFill="1" applyBorder="1" applyAlignment="1">
      <alignment horizontal="left" vertical="top" wrapText="1"/>
    </xf>
    <xf numFmtId="4" fontId="72" fillId="7" borderId="24" xfId="0" applyNumberFormat="1" applyFont="1" applyFill="1" applyBorder="1" applyAlignment="1">
      <alignment horizontal="left" vertical="top" wrapText="1"/>
    </xf>
    <xf numFmtId="0" fontId="64" fillId="7" borderId="23" xfId="0" applyFont="1" applyFill="1" applyBorder="1" applyAlignment="1">
      <alignment horizontal="center" vertical="top" wrapText="1"/>
    </xf>
    <xf numFmtId="0" fontId="65" fillId="0" borderId="48" xfId="0" applyFont="1" applyBorder="1" applyAlignment="1">
      <alignment horizontal="center"/>
    </xf>
    <xf numFmtId="0" fontId="65" fillId="0" borderId="49" xfId="0" applyFont="1" applyBorder="1" applyAlignment="1">
      <alignment horizontal="center"/>
    </xf>
    <xf numFmtId="0" fontId="65" fillId="0" borderId="50" xfId="0" applyFont="1" applyBorder="1" applyAlignment="1">
      <alignment horizontal="center"/>
    </xf>
    <xf numFmtId="0" fontId="55" fillId="0" borderId="0" xfId="0" applyFont="1" applyAlignment="1">
      <alignment horizontal="left" wrapText="1"/>
    </xf>
    <xf numFmtId="0" fontId="55" fillId="0" borderId="0" xfId="0" applyFont="1" applyAlignment="1">
      <alignment horizontal="left"/>
    </xf>
    <xf numFmtId="0" fontId="55" fillId="8" borderId="51" xfId="0" applyFont="1" applyFill="1" applyBorder="1" applyAlignment="1">
      <alignment horizontal="left" vertical="top" wrapText="1"/>
    </xf>
    <xf numFmtId="0" fontId="55" fillId="8" borderId="0" xfId="0" applyFont="1" applyFill="1" applyBorder="1" applyAlignment="1">
      <alignment horizontal="left" vertical="top" wrapText="1"/>
    </xf>
    <xf numFmtId="0" fontId="55" fillId="0" borderId="0" xfId="0" applyFont="1" applyFill="1" applyAlignment="1">
      <alignment wrapText="1"/>
    </xf>
    <xf numFmtId="0" fontId="61" fillId="0" borderId="0" xfId="0" applyFont="1" applyFill="1" applyAlignment="1">
      <alignment horizontal="center"/>
    </xf>
    <xf numFmtId="0" fontId="62" fillId="0" borderId="0" xfId="0" applyFont="1" applyFill="1" applyAlignment="1">
      <alignment horizontal="center"/>
    </xf>
    <xf numFmtId="0" fontId="0" fillId="0" borderId="0" xfId="0" applyAlignment="1">
      <alignment horizontal="left" wrapText="1"/>
    </xf>
    <xf numFmtId="0" fontId="44" fillId="0" borderId="0" xfId="0" applyFont="1" applyAlignment="1">
      <alignment horizontal="center"/>
    </xf>
    <xf numFmtId="0" fontId="0" fillId="0" borderId="0" xfId="0" applyAlignment="1">
      <alignment horizontal="center"/>
    </xf>
    <xf numFmtId="42" fontId="51" fillId="0" borderId="0" xfId="0" applyNumberFormat="1" applyFont="1" applyBorder="1" applyAlignment="1">
      <alignment horizontal="center"/>
    </xf>
    <xf numFmtId="42" fontId="53" fillId="0" borderId="0" xfId="0" applyNumberFormat="1" applyFont="1" applyBorder="1" applyAlignment="1">
      <alignment horizontal="center"/>
    </xf>
    <xf numFmtId="0" fontId="65" fillId="0" borderId="0" xfId="0" applyFont="1" applyAlignment="1">
      <alignment vertical="top" wrapText="1"/>
    </xf>
    <xf numFmtId="0" fontId="65" fillId="0" borderId="0" xfId="0" applyFont="1" applyAlignment="1">
      <alignment vertical="top"/>
    </xf>
  </cellXfs>
  <cellStyles count="184">
    <cellStyle name="Accent3 2" xfId="1"/>
    <cellStyle name="Accent3 3" xfId="2"/>
    <cellStyle name="Comma" xfId="3" builtinId="3"/>
    <cellStyle name="Comma 123 3" xfId="4"/>
    <cellStyle name="Comma 2" xfId="5"/>
    <cellStyle name="Comma 2 10" xfId="6"/>
    <cellStyle name="Comma 2 11" xfId="7"/>
    <cellStyle name="Comma 2 12" xfId="8"/>
    <cellStyle name="Comma 2 13" xfId="9"/>
    <cellStyle name="Comma 2 14" xfId="10"/>
    <cellStyle name="Comma 2 15" xfId="11"/>
    <cellStyle name="Comma 2 16" xfId="12"/>
    <cellStyle name="Comma 2 17" xfId="13"/>
    <cellStyle name="Comma 2 18" xfId="14"/>
    <cellStyle name="Comma 2 19" xfId="15"/>
    <cellStyle name="Comma 2 2" xfId="16"/>
    <cellStyle name="Comma 2 20" xfId="17"/>
    <cellStyle name="Comma 2 21" xfId="18"/>
    <cellStyle name="Comma 2 22" xfId="19"/>
    <cellStyle name="Comma 2 23" xfId="20"/>
    <cellStyle name="Comma 2 24" xfId="21"/>
    <cellStyle name="Comma 2 25" xfId="22"/>
    <cellStyle name="Comma 2 26" xfId="23"/>
    <cellStyle name="Comma 2 27" xfId="24"/>
    <cellStyle name="Comma 2 28" xfId="25"/>
    <cellStyle name="Comma 2 29" xfId="26"/>
    <cellStyle name="Comma 2 3" xfId="27"/>
    <cellStyle name="Comma 2 30" xfId="28"/>
    <cellStyle name="Comma 2 31" xfId="29"/>
    <cellStyle name="Comma 2 32" xfId="30"/>
    <cellStyle name="Comma 2 33" xfId="31"/>
    <cellStyle name="Comma 2 34" xfId="32"/>
    <cellStyle name="Comma 2 35" xfId="33"/>
    <cellStyle name="Comma 2 36" xfId="34"/>
    <cellStyle name="Comma 2 37" xfId="35"/>
    <cellStyle name="Comma 2 38" xfId="36"/>
    <cellStyle name="Comma 2 39" xfId="37"/>
    <cellStyle name="Comma 2 4" xfId="38"/>
    <cellStyle name="Comma 2 5" xfId="39"/>
    <cellStyle name="Comma 2 6" xfId="40"/>
    <cellStyle name="Comma 2 7" xfId="41"/>
    <cellStyle name="Comma 2 8" xfId="42"/>
    <cellStyle name="Comma 2 9" xfId="43"/>
    <cellStyle name="Comma 25" xfId="44"/>
    <cellStyle name="Comma 3" xfId="45"/>
    <cellStyle name="Comma 3 2" xfId="46"/>
    <cellStyle name="Comma 8" xfId="47"/>
    <cellStyle name="Currency" xfId="182" builtinId="4"/>
    <cellStyle name="Currency 2" xfId="48"/>
    <cellStyle name="Currency 2 2" xfId="49"/>
    <cellStyle name="Normal" xfId="0" builtinId="0"/>
    <cellStyle name="Normal 10" xfId="50"/>
    <cellStyle name="Normal 11" xfId="51"/>
    <cellStyle name="Normal 12" xfId="52"/>
    <cellStyle name="Normal 13" xfId="53"/>
    <cellStyle name="Normal 14" xfId="54"/>
    <cellStyle name="Normal 15" xfId="55"/>
    <cellStyle name="Normal 16" xfId="56"/>
    <cellStyle name="Normal 17" xfId="57"/>
    <cellStyle name="Normal 18" xfId="58"/>
    <cellStyle name="Normal 19" xfId="59"/>
    <cellStyle name="Normal 2" xfId="60"/>
    <cellStyle name="Normal 2 10" xfId="61"/>
    <cellStyle name="Normal 2 11" xfId="62"/>
    <cellStyle name="Normal 2 12" xfId="63"/>
    <cellStyle name="Normal 2 13" xfId="64"/>
    <cellStyle name="Normal 2 14" xfId="65"/>
    <cellStyle name="Normal 2 15" xfId="66"/>
    <cellStyle name="Normal 2 16" xfId="67"/>
    <cellStyle name="Normal 2 17" xfId="68"/>
    <cellStyle name="Normal 2 18" xfId="69"/>
    <cellStyle name="Normal 2 19" xfId="70"/>
    <cellStyle name="Normal 2 2" xfId="71"/>
    <cellStyle name="Normal 2 20" xfId="72"/>
    <cellStyle name="Normal 2 21" xfId="73"/>
    <cellStyle name="Normal 2 22" xfId="74"/>
    <cellStyle name="Normal 2 23" xfId="75"/>
    <cellStyle name="Normal 2 24" xfId="76"/>
    <cellStyle name="Normal 2 25" xfId="77"/>
    <cellStyle name="Normal 2 26" xfId="78"/>
    <cellStyle name="Normal 2 27" xfId="79"/>
    <cellStyle name="Normal 2 28" xfId="80"/>
    <cellStyle name="Normal 2 29" xfId="81"/>
    <cellStyle name="Normal 2 3" xfId="82"/>
    <cellStyle name="Normal 2 30" xfId="83"/>
    <cellStyle name="Normal 2 4" xfId="84"/>
    <cellStyle name="Normal 2 5" xfId="85"/>
    <cellStyle name="Normal 2 6" xfId="86"/>
    <cellStyle name="Normal 2 7" xfId="87"/>
    <cellStyle name="Normal 2 8" xfId="88"/>
    <cellStyle name="Normal 2 9" xfId="89"/>
    <cellStyle name="Normal 20" xfId="90"/>
    <cellStyle name="Normal 21" xfId="91"/>
    <cellStyle name="Normal 22" xfId="92"/>
    <cellStyle name="Normal 23" xfId="93"/>
    <cellStyle name="Normal 24" xfId="94"/>
    <cellStyle name="Normal 25" xfId="95"/>
    <cellStyle name="Normal 26" xfId="96"/>
    <cellStyle name="Normal 27" xfId="97"/>
    <cellStyle name="Normal 28" xfId="98"/>
    <cellStyle name="Normal 29" xfId="99"/>
    <cellStyle name="Normal 3" xfId="100"/>
    <cellStyle name="Normal 30" xfId="101"/>
    <cellStyle name="Normal 31" xfId="102"/>
    <cellStyle name="Normal 32" xfId="103"/>
    <cellStyle name="Normal 33" xfId="104"/>
    <cellStyle name="Normal 34" xfId="105"/>
    <cellStyle name="Normal 35" xfId="106"/>
    <cellStyle name="Normal 36" xfId="107"/>
    <cellStyle name="Normal 37" xfId="108"/>
    <cellStyle name="Normal 38" xfId="109"/>
    <cellStyle name="Normal 39" xfId="110"/>
    <cellStyle name="Normal 4" xfId="111"/>
    <cellStyle name="Normal 42" xfId="112"/>
    <cellStyle name="Normal 44" xfId="113"/>
    <cellStyle name="Normal 45" xfId="114"/>
    <cellStyle name="Normal 46" xfId="115"/>
    <cellStyle name="Normal 49" xfId="116"/>
    <cellStyle name="Normal 5" xfId="117"/>
    <cellStyle name="Normal 50" xfId="118"/>
    <cellStyle name="Normal 51" xfId="119"/>
    <cellStyle name="Normal 52" xfId="120"/>
    <cellStyle name="Normal 53" xfId="121"/>
    <cellStyle name="Normal 54" xfId="122"/>
    <cellStyle name="Normal 55" xfId="123"/>
    <cellStyle name="Normal 57" xfId="124"/>
    <cellStyle name="Normal 58" xfId="125"/>
    <cellStyle name="Normal 59" xfId="126"/>
    <cellStyle name="Normal 6" xfId="127"/>
    <cellStyle name="Normal 60" xfId="128"/>
    <cellStyle name="Normal 62" xfId="129"/>
    <cellStyle name="Normal 63" xfId="130"/>
    <cellStyle name="Normal 64" xfId="131"/>
    <cellStyle name="Normal 65" xfId="132"/>
    <cellStyle name="Normal 66" xfId="133"/>
    <cellStyle name="Normal 68" xfId="134"/>
    <cellStyle name="Normal 7" xfId="135"/>
    <cellStyle name="Normal 72" xfId="136"/>
    <cellStyle name="Normal 73" xfId="137"/>
    <cellStyle name="Normal 74" xfId="138"/>
    <cellStyle name="Normal 76" xfId="139"/>
    <cellStyle name="Normal 79" xfId="140"/>
    <cellStyle name="Normal 8" xfId="141"/>
    <cellStyle name="Normal 80" xfId="142"/>
    <cellStyle name="Normal 81" xfId="143"/>
    <cellStyle name="Normal 82" xfId="144"/>
    <cellStyle name="Normal 83" xfId="145"/>
    <cellStyle name="Normal 84" xfId="146"/>
    <cellStyle name="Normal 85" xfId="147"/>
    <cellStyle name="Normal 86" xfId="148"/>
    <cellStyle name="Normal 89" xfId="149"/>
    <cellStyle name="Normal 9" xfId="150"/>
    <cellStyle name="Normal 90" xfId="151"/>
    <cellStyle name="Normal 94" xfId="152"/>
    <cellStyle name="Percent" xfId="183" builtinId="5"/>
    <cellStyle name="Percent 10" xfId="153"/>
    <cellStyle name="Percent 11" xfId="154"/>
    <cellStyle name="Percent 12" xfId="155"/>
    <cellStyle name="Percent 13" xfId="156"/>
    <cellStyle name="Percent 14" xfId="157"/>
    <cellStyle name="Percent 15" xfId="158"/>
    <cellStyle name="Percent 16" xfId="159"/>
    <cellStyle name="Percent 17" xfId="160"/>
    <cellStyle name="Percent 18" xfId="161"/>
    <cellStyle name="Percent 19" xfId="162"/>
    <cellStyle name="Percent 2" xfId="163"/>
    <cellStyle name="Percent 20" xfId="164"/>
    <cellStyle name="Percent 21" xfId="165"/>
    <cellStyle name="Percent 22" xfId="166"/>
    <cellStyle name="Percent 23" xfId="167"/>
    <cellStyle name="Percent 24" xfId="168"/>
    <cellStyle name="Percent 25" xfId="169"/>
    <cellStyle name="Percent 26" xfId="170"/>
    <cellStyle name="Percent 27" xfId="171"/>
    <cellStyle name="Percent 28" xfId="172"/>
    <cellStyle name="Percent 29" xfId="173"/>
    <cellStyle name="Percent 3" xfId="174"/>
    <cellStyle name="Percent 30" xfId="175"/>
    <cellStyle name="Percent 4" xfId="176"/>
    <cellStyle name="Percent 5" xfId="177"/>
    <cellStyle name="Percent 6" xfId="178"/>
    <cellStyle name="Percent 7" xfId="179"/>
    <cellStyle name="Percent 8" xfId="180"/>
    <cellStyle name="Percent 9" xfId="1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4"/>
    </mc:Choice>
    <mc:Fallback>
      <c:style val="34"/>
    </mc:Fallback>
  </mc:AlternateContent>
  <c:chart>
    <c:title>
      <c:overlay val="0"/>
    </c:title>
    <c:autoTitleDeleted val="0"/>
    <c:plotArea>
      <c:layout>
        <c:manualLayout>
          <c:layoutTarget val="inner"/>
          <c:xMode val="edge"/>
          <c:yMode val="edge"/>
          <c:x val="0.20727575411894772"/>
          <c:y val="0.10839174924208031"/>
          <c:w val="0.55287160125661761"/>
          <c:h val="0.62981209853738462"/>
        </c:manualLayout>
      </c:layout>
      <c:doughnutChart>
        <c:varyColors val="1"/>
        <c:ser>
          <c:idx val="0"/>
          <c:order val="0"/>
          <c:tx>
            <c:strRef>
              <c:f>'SDBIP summary'!$B$4</c:f>
              <c:strCache>
                <c:ptCount val="1"/>
                <c:pt idx="0">
                  <c:v>% Target achieved</c:v>
                </c:pt>
              </c:strCache>
            </c:strRef>
          </c:tx>
          <c:spPr>
            <a:ln>
              <a:solidFill>
                <a:srgbClr val="C00000"/>
              </a:solidFill>
            </a:ln>
            <a:scene3d>
              <a:camera prst="orthographicFront"/>
              <a:lightRig rig="threePt" dir="t"/>
            </a:scene3d>
            <a:sp3d prstMaterial="matte">
              <a:bevelT w="63500" h="63500" prst="artDeco"/>
              <a:contourClr>
                <a:srgbClr val="000000"/>
              </a:contourClr>
            </a:sp3d>
          </c:spPr>
          <c:dLbls>
            <c:showLegendKey val="0"/>
            <c:showVal val="0"/>
            <c:showCatName val="0"/>
            <c:showSerName val="0"/>
            <c:showPercent val="1"/>
            <c:showBubbleSize val="0"/>
            <c:showLeaderLines val="1"/>
          </c:dLbls>
          <c:cat>
            <c:strRef>
              <c:f>'SDBIP summary'!$A$5:$A$9</c:f>
              <c:strCache>
                <c:ptCount val="5"/>
                <c:pt idx="0">
                  <c:v>Municipal Transformation and Organisational Development</c:v>
                </c:pt>
                <c:pt idx="1">
                  <c:v>Basic ServiceDelivery</c:v>
                </c:pt>
                <c:pt idx="2">
                  <c:v>Local Economic Development</c:v>
                </c:pt>
                <c:pt idx="3">
                  <c:v>Municipal Finance Management Viability</c:v>
                </c:pt>
                <c:pt idx="4">
                  <c:v>Good Governance and Public Participation</c:v>
                </c:pt>
              </c:strCache>
            </c:strRef>
          </c:cat>
          <c:val>
            <c:numRef>
              <c:f>'SDBIP summary'!$B$5:$B$9</c:f>
              <c:numCache>
                <c:formatCode>0.00%</c:formatCode>
                <c:ptCount val="5"/>
                <c:pt idx="0">
                  <c:v>0.4476</c:v>
                </c:pt>
                <c:pt idx="1">
                  <c:v>1.15E-2</c:v>
                </c:pt>
                <c:pt idx="2">
                  <c:v>0.28570000000000001</c:v>
                </c:pt>
                <c:pt idx="3">
                  <c:v>0.3125</c:v>
                </c:pt>
                <c:pt idx="4">
                  <c:v>0.46510000000000001</c:v>
                </c:pt>
              </c:numCache>
            </c:numRef>
          </c:val>
        </c:ser>
        <c:dLbls>
          <c:showLegendKey val="0"/>
          <c:showVal val="0"/>
          <c:showCatName val="0"/>
          <c:showSerName val="0"/>
          <c:showPercent val="1"/>
          <c:showBubbleSize val="0"/>
          <c:showLeaderLines val="1"/>
        </c:dLbls>
        <c:firstSliceAng val="0"/>
        <c:holeSize val="50"/>
      </c:doughnutChart>
    </c:plotArea>
    <c:legend>
      <c:legendPos val="b"/>
      <c:layout>
        <c:manualLayout>
          <c:xMode val="edge"/>
          <c:yMode val="edge"/>
          <c:x val="0.13613057653358684"/>
          <c:y val="0.73676516412292137"/>
          <c:w val="0.7556618697627957"/>
          <c:h val="0.23997901482604372"/>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0</xdr:col>
      <xdr:colOff>63499</xdr:colOff>
      <xdr:row>0</xdr:row>
      <xdr:rowOff>111125</xdr:rowOff>
    </xdr:from>
    <xdr:to>
      <xdr:col>20</xdr:col>
      <xdr:colOff>523874</xdr:colOff>
      <xdr:row>46</xdr:row>
      <xdr:rowOff>1222375</xdr:rowOff>
    </xdr:to>
    <xdr:grpSp>
      <xdr:nvGrpSpPr>
        <xdr:cNvPr id="48198" name="Group 11"/>
        <xdr:cNvGrpSpPr>
          <a:grpSpLocks/>
        </xdr:cNvGrpSpPr>
      </xdr:nvGrpSpPr>
      <xdr:grpSpPr bwMode="auto">
        <a:xfrm>
          <a:off x="68452" y="108077"/>
          <a:ext cx="14021943" cy="9629394"/>
          <a:chOff x="0" y="0"/>
          <a:chExt cx="8472388" cy="6591672"/>
        </a:xfrm>
      </xdr:grpSpPr>
      <xdr:sp macro="" textlink="">
        <xdr:nvSpPr>
          <xdr:cNvPr id="13" name="Rectangle 12"/>
          <xdr:cNvSpPr/>
        </xdr:nvSpPr>
        <xdr:spPr>
          <a:xfrm>
            <a:off x="0" y="0"/>
            <a:ext cx="8452021"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pic>
        <xdr:nvPicPr>
          <xdr:cNvPr id="48200" name="Picture 13" descr="Greater Letaba Logo"/>
          <xdr:cNvPicPr>
            <a:picLocks noChangeAspect="1" noChangeArrowheads="1"/>
          </xdr:cNvPicPr>
        </xdr:nvPicPr>
        <xdr:blipFill>
          <a:blip xmlns:r="http://schemas.openxmlformats.org/officeDocument/2006/relationships" r:embed="rId1"/>
          <a:srcRect/>
          <a:stretch>
            <a:fillRect/>
          </a:stretch>
        </xdr:blipFill>
        <xdr:spPr bwMode="auto">
          <a:xfrm>
            <a:off x="3391745" y="1524574"/>
            <a:ext cx="1785938" cy="1446242"/>
          </a:xfrm>
          <a:prstGeom prst="rect">
            <a:avLst/>
          </a:prstGeom>
          <a:noFill/>
          <a:ln w="9525">
            <a:noFill/>
            <a:miter lim="800000"/>
            <a:headEnd/>
            <a:tailEnd/>
          </a:ln>
        </xdr:spPr>
      </xdr:pic>
      <xdr:sp macro="" textlink="">
        <xdr:nvSpPr>
          <xdr:cNvPr id="15" name="TextBox 4"/>
          <xdr:cNvSpPr txBox="1">
            <a:spLocks noChangeArrowheads="1"/>
          </xdr:cNvSpPr>
        </xdr:nvSpPr>
        <xdr:spPr bwMode="auto">
          <a:xfrm>
            <a:off x="178879" y="340376"/>
            <a:ext cx="7990061" cy="1095845"/>
          </a:xfrm>
          <a:prstGeom prst="rect">
            <a:avLst/>
          </a:prstGeom>
          <a:solidFill>
            <a:schemeClr val="accent3">
              <a:lumMod val="60000"/>
              <a:lumOff val="40000"/>
            </a:schemeClr>
          </a:solidFill>
          <a:ln w="9525">
            <a:noFill/>
            <a:miter lim="800000"/>
            <a:headEnd/>
            <a:tailEnd/>
          </a:ln>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2800" b="1">
                <a:latin typeface="Bell MT" pitchFamily="18" charset="0"/>
              </a:rPr>
              <a:t>GREATER LETABA MUNICIPALITY</a:t>
            </a:r>
          </a:p>
          <a:p>
            <a:pPr algn="ctr" fontAlgn="auto">
              <a:lnSpc>
                <a:spcPts val="3000"/>
              </a:lnSpc>
              <a:spcBef>
                <a:spcPts val="0"/>
              </a:spcBef>
              <a:spcAft>
                <a:spcPts val="0"/>
              </a:spcAft>
              <a:defRPr/>
            </a:pPr>
            <a:endParaRPr lang="en-ZA" sz="2800" b="1">
              <a:latin typeface="Bell MT" pitchFamily="18" charset="0"/>
            </a:endParaRPr>
          </a:p>
        </xdr:txBody>
      </xdr:sp>
      <xdr:pic>
        <xdr:nvPicPr>
          <xdr:cNvPr id="48202" name="Picture 15"/>
          <xdr:cNvPicPr>
            <a:picLocks noChangeAspect="1" noChangeArrowheads="1"/>
          </xdr:cNvPicPr>
        </xdr:nvPicPr>
        <xdr:blipFill>
          <a:blip xmlns:r="http://schemas.openxmlformats.org/officeDocument/2006/relationships" r:embed="rId2">
            <a:lum bright="24000" contrast="20000"/>
          </a:blip>
          <a:srcRect/>
          <a:stretch>
            <a:fillRect/>
          </a:stretch>
        </xdr:blipFill>
        <xdr:spPr bwMode="auto">
          <a:xfrm>
            <a:off x="6557955" y="4435137"/>
            <a:ext cx="1873701" cy="1495334"/>
          </a:xfrm>
          <a:prstGeom prst="rect">
            <a:avLst/>
          </a:prstGeom>
          <a:noFill/>
          <a:ln w="9525">
            <a:noFill/>
            <a:miter lim="800000"/>
            <a:headEnd/>
            <a:tailEnd/>
          </a:ln>
        </xdr:spPr>
      </xdr:pic>
      <xdr:pic>
        <xdr:nvPicPr>
          <xdr:cNvPr id="48203" name="Picture 16" descr="family"/>
          <xdr:cNvPicPr>
            <a:picLocks noChangeAspect="1" noChangeArrowheads="1"/>
          </xdr:cNvPicPr>
        </xdr:nvPicPr>
        <xdr:blipFill>
          <a:blip xmlns:r="http://schemas.openxmlformats.org/officeDocument/2006/relationships" r:embed="rId3"/>
          <a:srcRect/>
          <a:stretch>
            <a:fillRect/>
          </a:stretch>
        </xdr:blipFill>
        <xdr:spPr bwMode="auto">
          <a:xfrm>
            <a:off x="107569" y="3051700"/>
            <a:ext cx="1908697" cy="1505505"/>
          </a:xfrm>
          <a:prstGeom prst="rect">
            <a:avLst/>
          </a:prstGeom>
          <a:noFill/>
          <a:ln w="9525">
            <a:noFill/>
            <a:miter lim="800000"/>
            <a:headEnd/>
            <a:tailEnd/>
          </a:ln>
        </xdr:spPr>
      </xdr:pic>
      <xdr:pic>
        <xdr:nvPicPr>
          <xdr:cNvPr id="48204" name="Picture 17" descr="ENCEPHALARTOS_TRANSVENOSUS5_FCONE-01262005"/>
          <xdr:cNvPicPr>
            <a:picLocks noChangeAspect="1" noChangeArrowheads="1"/>
          </xdr:cNvPicPr>
        </xdr:nvPicPr>
        <xdr:blipFill>
          <a:blip xmlns:r="http://schemas.openxmlformats.org/officeDocument/2006/relationships" r:embed="rId4">
            <a:lum bright="34000" contrast="32000"/>
          </a:blip>
          <a:srcRect/>
          <a:stretch>
            <a:fillRect/>
          </a:stretch>
        </xdr:blipFill>
        <xdr:spPr bwMode="auto">
          <a:xfrm>
            <a:off x="89920" y="4533676"/>
            <a:ext cx="1926346" cy="1357885"/>
          </a:xfrm>
          <a:prstGeom prst="rect">
            <a:avLst/>
          </a:prstGeom>
          <a:noFill/>
          <a:ln w="9525">
            <a:noFill/>
            <a:miter lim="800000"/>
            <a:headEnd/>
            <a:tailEnd/>
          </a:ln>
        </xdr:spPr>
      </xdr:pic>
      <xdr:sp macro="" textlink="">
        <xdr:nvSpPr>
          <xdr:cNvPr id="19" name="TextBox 10"/>
          <xdr:cNvSpPr txBox="1"/>
        </xdr:nvSpPr>
        <xdr:spPr>
          <a:xfrm>
            <a:off x="2014739" y="3038479"/>
            <a:ext cx="4536587" cy="2891991"/>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800"/>
              </a:lnSpc>
              <a:defRPr/>
            </a:pPr>
            <a:endParaRPr lang="en-GB" sz="2400" b="1">
              <a:latin typeface="Century Schoolbook" pitchFamily="18" charset="0"/>
              <a:cs typeface="Arial" pitchFamily="34" charset="0"/>
            </a:endParaRPr>
          </a:p>
          <a:p>
            <a:pPr algn="ctr">
              <a:lnSpc>
                <a:spcPts val="2500"/>
              </a:lnSpc>
              <a:defRPr/>
            </a:pPr>
            <a:r>
              <a:rPr lang="en-GB" sz="2400" b="1" i="0">
                <a:latin typeface="Century Schoolbook" pitchFamily="18" charset="0"/>
                <a:cs typeface="Arial" pitchFamily="34" charset="0"/>
              </a:rPr>
              <a:t>  SDBIP MID-YEAR</a:t>
            </a:r>
            <a:r>
              <a:rPr lang="en-GB" sz="2400" b="1" i="0" baseline="0">
                <a:latin typeface="Century Schoolbook" pitchFamily="18" charset="0"/>
                <a:cs typeface="Arial" pitchFamily="34" charset="0"/>
              </a:rPr>
              <a:t> BUDGET AND</a:t>
            </a:r>
          </a:p>
          <a:p>
            <a:pPr algn="ctr">
              <a:lnSpc>
                <a:spcPts val="2500"/>
              </a:lnSpc>
              <a:defRPr/>
            </a:pPr>
            <a:r>
              <a:rPr lang="en-GB" sz="2400" b="1" i="0" baseline="0">
                <a:latin typeface="Century Schoolbook" pitchFamily="18" charset="0"/>
                <a:cs typeface="Arial" pitchFamily="34" charset="0"/>
              </a:rPr>
              <a:t>PERFORMANCE REPORT </a:t>
            </a:r>
            <a:endParaRPr lang="en-GB" sz="2400" b="1" i="0">
              <a:latin typeface="Century Schoolbook" pitchFamily="18" charset="0"/>
              <a:cs typeface="Arial" pitchFamily="34" charset="0"/>
            </a:endParaRPr>
          </a:p>
          <a:p>
            <a:pPr algn="ctr">
              <a:lnSpc>
                <a:spcPts val="2600"/>
              </a:lnSpc>
              <a:defRPr/>
            </a:pPr>
            <a:endParaRPr lang="en-GB" sz="2400" b="1" i="1">
              <a:latin typeface="Century Schoolbook" pitchFamily="18" charset="0"/>
              <a:cs typeface="Arial" pitchFamily="34" charset="0"/>
            </a:endParaRPr>
          </a:p>
          <a:p>
            <a:pPr algn="ctr">
              <a:lnSpc>
                <a:spcPts val="2600"/>
              </a:lnSpc>
              <a:defRPr/>
            </a:pPr>
            <a:r>
              <a:rPr lang="en-GB" sz="2400" b="1">
                <a:latin typeface="Century Schoolbook" pitchFamily="18" charset="0"/>
                <a:cs typeface="Arial" pitchFamily="34" charset="0"/>
              </a:rPr>
              <a:t>2014/2015</a:t>
            </a:r>
          </a:p>
          <a:p>
            <a:pPr algn="ctr">
              <a:lnSpc>
                <a:spcPts val="2600"/>
              </a:lnSpc>
              <a:defRPr/>
            </a:pPr>
            <a:endParaRPr lang="en-GB" sz="2400" b="1">
              <a:latin typeface="Century Schoolbook" pitchFamily="18" charset="0"/>
              <a:cs typeface="Arial" pitchFamily="34" charset="0"/>
            </a:endParaRPr>
          </a:p>
          <a:p>
            <a:pPr algn="ctr">
              <a:lnSpc>
                <a:spcPts val="2600"/>
              </a:lnSpc>
              <a:defRPr/>
            </a:pPr>
            <a:endParaRPr lang="en-ZA" sz="2400" b="1">
              <a:latin typeface="Century Schoolbook" pitchFamily="18" charset="0"/>
              <a:cs typeface="Arial" pitchFamily="34" charset="0"/>
            </a:endParaRPr>
          </a:p>
          <a:p>
            <a:pPr marL="0" marR="0" indent="0" algn="ctr" defTabSz="914400" rtl="0" eaLnBrk="1" fontAlgn="auto" latinLnBrk="0" hangingPunct="1">
              <a:lnSpc>
                <a:spcPts val="2600"/>
              </a:lnSpc>
              <a:spcBef>
                <a:spcPts val="0"/>
              </a:spcBef>
              <a:spcAft>
                <a:spcPts val="0"/>
              </a:spcAft>
              <a:buClrTx/>
              <a:buSzTx/>
              <a:buFontTx/>
              <a:buNone/>
              <a:tabLst/>
              <a:defRPr/>
            </a:pPr>
            <a:r>
              <a:rPr lang="en-GB" sz="1800" b="1" i="1" kern="1200">
                <a:solidFill>
                  <a:schemeClr val="tx1"/>
                </a:solidFill>
                <a:effectLst/>
                <a:latin typeface="Century Schoolbook" pitchFamily="18" charset="0"/>
                <a:ea typeface="+mn-ea"/>
                <a:cs typeface="+mn-cs"/>
              </a:rPr>
              <a:t>MFMA Section 72</a:t>
            </a:r>
            <a:endParaRPr lang="en-ZA" sz="2400" b="1" i="1">
              <a:effectLst/>
              <a:latin typeface="Century Schoolbook" pitchFamily="18" charset="0"/>
            </a:endParaRPr>
          </a:p>
          <a:p>
            <a:pPr algn="ctr">
              <a:lnSpc>
                <a:spcPts val="2600"/>
              </a:lnSpc>
              <a:defRPr/>
            </a:pPr>
            <a:endParaRPr lang="en-ZA" sz="2400" b="1">
              <a:latin typeface="Calibri" pitchFamily="34" charset="0"/>
              <a:cs typeface="Arial" pitchFamily="34" charset="0"/>
            </a:endParaRPr>
          </a:p>
        </xdr:txBody>
      </xdr:sp>
      <xdr:pic>
        <xdr:nvPicPr>
          <xdr:cNvPr id="48206" name="Picture 19" descr="ENCEPHALARTOS_TRANSVENOSUS5_FCONE-01262005"/>
          <xdr:cNvPicPr>
            <a:picLocks noChangeAspect="1" noChangeArrowheads="1"/>
          </xdr:cNvPicPr>
        </xdr:nvPicPr>
        <xdr:blipFill>
          <a:blip xmlns:r="http://schemas.openxmlformats.org/officeDocument/2006/relationships" r:embed="rId5">
            <a:lum bright="34000" contrast="32000"/>
          </a:blip>
          <a:srcRect/>
          <a:stretch>
            <a:fillRect/>
          </a:stretch>
        </xdr:blipFill>
        <xdr:spPr bwMode="auto">
          <a:xfrm>
            <a:off x="6578320" y="3056804"/>
            <a:ext cx="1894068" cy="1378334"/>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xdr:rowOff>
    </xdr:from>
    <xdr:to>
      <xdr:col>2</xdr:col>
      <xdr:colOff>15875</xdr:colOff>
      <xdr:row>2</xdr:row>
      <xdr:rowOff>5111750</xdr:rowOff>
    </xdr:to>
    <xdr:pic>
      <xdr:nvPicPr>
        <xdr:cNvPr id="2" name="Picture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125" y="4413251"/>
          <a:ext cx="6842125" cy="5111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333374</xdr:colOff>
      <xdr:row>12</xdr:row>
      <xdr:rowOff>47624</xdr:rowOff>
    </xdr:from>
    <xdr:to>
      <xdr:col>3</xdr:col>
      <xdr:colOff>428625</xdr:colOff>
      <xdr:row>37</xdr:row>
      <xdr:rowOff>76199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1306285</xdr:colOff>
      <xdr:row>4</xdr:row>
      <xdr:rowOff>136071</xdr:rowOff>
    </xdr:from>
    <xdr:to>
      <xdr:col>1</xdr:col>
      <xdr:colOff>3873490</xdr:colOff>
      <xdr:row>16</xdr:row>
      <xdr:rowOff>54428</xdr:rowOff>
    </xdr:to>
    <xdr:pic>
      <xdr:nvPicPr>
        <xdr:cNvPr id="7" name="Picture 1" descr="Greater Letaba Logo"/>
        <xdr:cNvPicPr>
          <a:picLocks noChangeAspect="1" noChangeArrowheads="1"/>
        </xdr:cNvPicPr>
      </xdr:nvPicPr>
      <xdr:blipFill>
        <a:blip xmlns:r="http://schemas.openxmlformats.org/officeDocument/2006/relationships" r:embed="rId1"/>
        <a:srcRect/>
        <a:stretch>
          <a:fillRect/>
        </a:stretch>
      </xdr:blipFill>
      <xdr:spPr bwMode="auto">
        <a:xfrm>
          <a:off x="1918606" y="2245178"/>
          <a:ext cx="2567205" cy="220435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5731510</xdr:colOff>
      <xdr:row>41</xdr:row>
      <xdr:rowOff>69850</xdr:rowOff>
    </xdr:to>
    <xdr:pic>
      <xdr:nvPicPr>
        <xdr:cNvPr id="2" name="Picture 1" descr="H:\0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31510" cy="7880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richards\AppData\Local\Microsoft\Windows\Temporary%20Internet%20Files\Content.Outlook\J672E4DA\B%20Schedule%20-%20Ver%202%204%20-%20Adjust%20Budget%202011-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J672E4DA/B%20Schedule%20-%20Ver%202%204%20-%20Adjust%20Budget%202011-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isa/AppData/Local/Microsoft/Windows/Temporary%20Internet%20Files/Content.Outlook/2TPQD5KT/A1%20Schedule%20Ba-Phalaborwa%20Municipality%202010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GRACE\A1%20Schedule%20-%20Ver%202%203%20%20%20-%2002%20December%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All%20New%20Info%20%202013%202014/SDBIP/A1%20Schedule%20-%20Ver%202%203%20%20%20-%2002%20December%20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py%20of%20GLM%20Financial%20Report%20December%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row r="7">
          <cell r="K7">
            <v>6065000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15">
          <cell r="B15" t="str">
            <v>Budget Year 2010/11</v>
          </cell>
        </row>
        <row r="16">
          <cell r="B16" t="str">
            <v>Budget Year +1 2011/12</v>
          </cell>
        </row>
        <row r="17">
          <cell r="B17" t="str">
            <v>Budget Year +2 2012/13</v>
          </cell>
        </row>
        <row r="30">
          <cell r="B30" t="str">
            <v>Description</v>
          </cell>
        </row>
        <row r="33">
          <cell r="B33" t="str">
            <v>Ref</v>
          </cell>
        </row>
        <row r="93">
          <cell r="B93" t="str">
            <v>LIM334 Ba-Phalaborwa</v>
          </cell>
        </row>
        <row r="138">
          <cell r="B138" t="str">
            <v>Supporting Table SA28 Budgeted monthly capital expenditure (municipal vote)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pital Projects"/>
      <sheetName val="Expenditure"/>
      <sheetName val="Income"/>
      <sheetName val="Salaries"/>
      <sheetName val="Overtime"/>
      <sheetName val="Cash Flow "/>
      <sheetName val="Bank"/>
      <sheetName val="Debtors"/>
      <sheetName val="FBE"/>
      <sheetName val="Grants"/>
      <sheetName val="Conclusion"/>
      <sheetName val="Sheet1"/>
    </sheetNames>
    <sheetDataSet>
      <sheetData sheetId="0"/>
      <sheetData sheetId="1"/>
      <sheetData sheetId="2"/>
      <sheetData sheetId="3">
        <row r="7">
          <cell r="D7">
            <v>3550239</v>
          </cell>
        </row>
        <row r="9">
          <cell r="D9">
            <v>3999875</v>
          </cell>
        </row>
        <row r="10">
          <cell r="D10">
            <v>616025</v>
          </cell>
        </row>
        <row r="21">
          <cell r="C21">
            <v>12719576</v>
          </cell>
        </row>
        <row r="30">
          <cell r="C30">
            <v>34020000</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sheetPr>
  <dimension ref="Q35:Q47"/>
  <sheetViews>
    <sheetView view="pageBreakPreview" topLeftCell="A16" zoomScale="90" zoomScaleSheetLayoutView="90" workbookViewId="0">
      <selection activeCell="D17" sqref="D17"/>
    </sheetView>
  </sheetViews>
  <sheetFormatPr defaultRowHeight="15" x14ac:dyDescent="0.25"/>
  <cols>
    <col min="1" max="1" width="8.28515625" style="1" customWidth="1"/>
    <col min="2" max="2" width="10.85546875" style="1" customWidth="1"/>
    <col min="3" max="3" width="5" style="1" customWidth="1"/>
    <col min="4" max="4" width="5.5703125" style="1" customWidth="1"/>
    <col min="5" max="5" width="8.42578125" style="1" customWidth="1"/>
    <col min="6" max="6" width="7.42578125" style="1" customWidth="1"/>
    <col min="7" max="7" width="9.28515625" style="1" customWidth="1"/>
    <col min="8" max="8" width="10.42578125" style="1" customWidth="1"/>
    <col min="9" max="9" width="13" style="1" customWidth="1"/>
    <col min="10" max="10" width="12.85546875" style="1" customWidth="1"/>
    <col min="11" max="11" width="14.5703125" style="1" customWidth="1"/>
    <col min="12" max="12" width="10" style="1" customWidth="1"/>
    <col min="13" max="16384" width="9.140625" style="1"/>
  </cols>
  <sheetData>
    <row r="35" spans="17:17" ht="17.25" x14ac:dyDescent="0.35">
      <c r="Q35" s="11"/>
    </row>
    <row r="47" spans="17:17" ht="117" customHeight="1" x14ac:dyDescent="0.25"/>
  </sheetData>
  <pageMargins left="0.70866141732283505" right="0.70866141732283505" top="0.74803149606299202" bottom="0.74803149606299202" header="0.31496062992126" footer="0.31496062992126"/>
  <pageSetup paperSize="9" scale="60" fitToHeight="0" orientation="landscape"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0"/>
  <sheetViews>
    <sheetView view="pageBreakPreview" topLeftCell="A4" zoomScale="90" zoomScaleSheetLayoutView="90" workbookViewId="0">
      <selection activeCell="D17" sqref="D17"/>
    </sheetView>
  </sheetViews>
  <sheetFormatPr defaultColWidth="13" defaultRowHeight="15" x14ac:dyDescent="0.25"/>
  <cols>
    <col min="1" max="1" width="7.28515625" style="25" customWidth="1"/>
    <col min="2" max="6" width="13" style="23"/>
    <col min="7" max="7" width="13" style="63"/>
    <col min="8" max="13" width="13" style="23"/>
  </cols>
  <sheetData>
    <row r="1" spans="1:13" ht="47.25" customHeight="1" thickTop="1" thickBot="1" x14ac:dyDescent="0.3">
      <c r="A1" s="565" t="s">
        <v>54</v>
      </c>
      <c r="B1" s="566"/>
      <c r="C1" s="566"/>
      <c r="D1" s="566"/>
      <c r="E1" s="566"/>
      <c r="F1" s="566"/>
      <c r="G1" s="566"/>
      <c r="H1" s="566"/>
      <c r="I1" s="566"/>
      <c r="J1" s="566"/>
      <c r="K1" s="566"/>
      <c r="L1" s="566"/>
      <c r="M1" s="567"/>
    </row>
    <row r="2" spans="1:13" s="12" customFormat="1" ht="51" customHeight="1" thickTop="1" thickBot="1" x14ac:dyDescent="0.3">
      <c r="A2" s="78" t="s">
        <v>2</v>
      </c>
      <c r="B2" s="79" t="s">
        <v>0</v>
      </c>
      <c r="C2" s="79" t="s">
        <v>67</v>
      </c>
      <c r="D2" s="79" t="s">
        <v>8</v>
      </c>
      <c r="E2" s="79" t="s">
        <v>21</v>
      </c>
      <c r="F2" s="79" t="s">
        <v>9</v>
      </c>
      <c r="G2" s="83" t="s">
        <v>116</v>
      </c>
      <c r="H2" s="79" t="s">
        <v>855</v>
      </c>
      <c r="I2" s="79" t="s">
        <v>856</v>
      </c>
      <c r="J2" s="79" t="s">
        <v>633</v>
      </c>
      <c r="K2" s="79" t="s">
        <v>634</v>
      </c>
      <c r="L2" s="79" t="s">
        <v>635</v>
      </c>
      <c r="M2" s="79" t="s">
        <v>10</v>
      </c>
    </row>
    <row r="3" spans="1:13" ht="87" customHeight="1" thickTop="1" thickBot="1" x14ac:dyDescent="0.3">
      <c r="A3" s="31">
        <v>50</v>
      </c>
      <c r="B3" s="6" t="s">
        <v>29</v>
      </c>
      <c r="C3" s="6" t="s">
        <v>41</v>
      </c>
      <c r="D3" s="6" t="s">
        <v>462</v>
      </c>
      <c r="E3" s="6" t="s">
        <v>337</v>
      </c>
      <c r="F3" s="6" t="s">
        <v>122</v>
      </c>
      <c r="G3" s="60" t="s">
        <v>11</v>
      </c>
      <c r="H3" s="4" t="s">
        <v>12</v>
      </c>
      <c r="I3" s="4" t="s">
        <v>12</v>
      </c>
      <c r="J3" s="4" t="s">
        <v>12</v>
      </c>
      <c r="K3" s="4" t="s">
        <v>12</v>
      </c>
      <c r="L3" s="200">
        <v>0</v>
      </c>
      <c r="M3" s="4" t="s">
        <v>58</v>
      </c>
    </row>
    <row r="4" spans="1:13" s="2" customFormat="1" ht="96.75" customHeight="1" thickTop="1" thickBot="1" x14ac:dyDescent="0.3">
      <c r="A4" s="56">
        <v>50</v>
      </c>
      <c r="B4" s="8" t="s">
        <v>29</v>
      </c>
      <c r="C4" s="8" t="s">
        <v>41</v>
      </c>
      <c r="D4" s="8" t="s">
        <v>460</v>
      </c>
      <c r="E4" s="57" t="s">
        <v>461</v>
      </c>
      <c r="F4" s="76">
        <v>0.25</v>
      </c>
      <c r="G4" s="61" t="s">
        <v>13</v>
      </c>
      <c r="H4" s="58" t="s">
        <v>785</v>
      </c>
      <c r="I4" s="58" t="s">
        <v>761</v>
      </c>
      <c r="J4" s="58" t="s">
        <v>760</v>
      </c>
      <c r="K4" s="58" t="s">
        <v>762</v>
      </c>
      <c r="L4" s="200">
        <v>0</v>
      </c>
      <c r="M4" s="59" t="s">
        <v>103</v>
      </c>
    </row>
    <row r="5" spans="1:13" s="2" customFormat="1" ht="71.25" customHeight="1" thickTop="1" thickBot="1" x14ac:dyDescent="0.3">
      <c r="A5" s="56">
        <v>50</v>
      </c>
      <c r="B5" s="8" t="s">
        <v>29</v>
      </c>
      <c r="C5" s="8" t="s">
        <v>83</v>
      </c>
      <c r="D5" s="8" t="s">
        <v>463</v>
      </c>
      <c r="E5" s="57" t="s">
        <v>464</v>
      </c>
      <c r="F5" s="76">
        <v>1</v>
      </c>
      <c r="G5" s="61" t="s">
        <v>13</v>
      </c>
      <c r="H5" s="58">
        <v>1</v>
      </c>
      <c r="I5" s="58" t="s">
        <v>763</v>
      </c>
      <c r="J5" s="58" t="s">
        <v>1</v>
      </c>
      <c r="K5" s="58" t="s">
        <v>1</v>
      </c>
      <c r="L5" s="200">
        <v>0</v>
      </c>
      <c r="M5" s="59" t="s">
        <v>58</v>
      </c>
    </row>
    <row r="6" spans="1:13" ht="56.25" customHeight="1" thickTop="1" thickBot="1" x14ac:dyDescent="0.3">
      <c r="A6" s="31">
        <v>50</v>
      </c>
      <c r="B6" s="6" t="s">
        <v>29</v>
      </c>
      <c r="C6" s="6" t="s">
        <v>42</v>
      </c>
      <c r="D6" s="6" t="s">
        <v>465</v>
      </c>
      <c r="E6" s="3" t="s">
        <v>15</v>
      </c>
      <c r="F6" s="76">
        <v>0.7</v>
      </c>
      <c r="G6" s="62" t="s">
        <v>13</v>
      </c>
      <c r="H6" s="5">
        <v>0.5</v>
      </c>
      <c r="I6" s="196" t="s">
        <v>801</v>
      </c>
      <c r="J6" s="6" t="s">
        <v>733</v>
      </c>
      <c r="K6" s="6" t="s">
        <v>842</v>
      </c>
      <c r="L6" s="5">
        <v>0.34</v>
      </c>
      <c r="M6" s="4" t="s">
        <v>104</v>
      </c>
    </row>
    <row r="7" spans="1:13" s="23" customFormat="1" ht="54.75" customHeight="1" thickTop="1" thickBot="1" x14ac:dyDescent="0.3">
      <c r="A7" s="31">
        <v>50</v>
      </c>
      <c r="B7" s="6" t="s">
        <v>29</v>
      </c>
      <c r="C7" s="6" t="s">
        <v>42</v>
      </c>
      <c r="D7" s="6" t="s">
        <v>465</v>
      </c>
      <c r="E7" s="6" t="s">
        <v>466</v>
      </c>
      <c r="F7" s="5">
        <v>0.7</v>
      </c>
      <c r="G7" s="62">
        <v>46950000</v>
      </c>
      <c r="H7" s="5">
        <v>0.5</v>
      </c>
      <c r="I7" s="196" t="s">
        <v>806</v>
      </c>
      <c r="J7" s="6" t="s">
        <v>733</v>
      </c>
      <c r="K7" s="6" t="s">
        <v>842</v>
      </c>
      <c r="L7" s="5">
        <v>0.16209999999999999</v>
      </c>
      <c r="M7" s="4" t="s">
        <v>104</v>
      </c>
    </row>
    <row r="8" spans="1:13" ht="54.75" customHeight="1" thickTop="1" thickBot="1" x14ac:dyDescent="0.3">
      <c r="A8" s="31">
        <v>50</v>
      </c>
      <c r="B8" s="6" t="s">
        <v>29</v>
      </c>
      <c r="C8" s="6" t="s">
        <v>42</v>
      </c>
      <c r="D8" s="6" t="s">
        <v>465</v>
      </c>
      <c r="E8" s="6" t="s">
        <v>85</v>
      </c>
      <c r="F8" s="5">
        <v>0.9</v>
      </c>
      <c r="G8" s="62">
        <v>1550000</v>
      </c>
      <c r="H8" s="5">
        <v>0.5</v>
      </c>
      <c r="I8" s="196" t="s">
        <v>802</v>
      </c>
      <c r="J8" s="157" t="s">
        <v>804</v>
      </c>
      <c r="K8" s="6" t="s">
        <v>805</v>
      </c>
      <c r="L8" s="5">
        <v>9.7199999999999995E-2</v>
      </c>
      <c r="M8" s="4" t="s">
        <v>104</v>
      </c>
    </row>
    <row r="9" spans="1:13" ht="80.25" thickTop="1" thickBot="1" x14ac:dyDescent="0.3">
      <c r="A9" s="31">
        <v>50</v>
      </c>
      <c r="B9" s="6" t="s">
        <v>29</v>
      </c>
      <c r="C9" s="6" t="s">
        <v>42</v>
      </c>
      <c r="D9" s="6" t="s">
        <v>465</v>
      </c>
      <c r="E9" s="6" t="s">
        <v>16</v>
      </c>
      <c r="F9" s="5">
        <v>1</v>
      </c>
      <c r="G9" s="62">
        <v>890000</v>
      </c>
      <c r="H9" s="5">
        <v>0.5</v>
      </c>
      <c r="I9" s="196" t="s">
        <v>803</v>
      </c>
      <c r="J9" s="6" t="s">
        <v>733</v>
      </c>
      <c r="K9" s="6" t="s">
        <v>639</v>
      </c>
      <c r="L9" s="5">
        <v>0.27039999999999997</v>
      </c>
      <c r="M9" s="4" t="s">
        <v>104</v>
      </c>
    </row>
    <row r="10" spans="1:13" ht="15.75" thickTop="1" x14ac:dyDescent="0.25"/>
  </sheetData>
  <mergeCells count="1">
    <mergeCell ref="A1:M1"/>
  </mergeCells>
  <pageMargins left="0.70866141732283505" right="0.70866141732283505" top="0.74803149606299202" bottom="0.74803149606299202" header="0.31496062992126" footer="0.31496062992126"/>
  <pageSetup paperSize="9" scale="75" fitToHeight="0"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5"/>
  <sheetViews>
    <sheetView view="pageBreakPreview" topLeftCell="A7" zoomScale="90" zoomScaleSheetLayoutView="90" workbookViewId="0">
      <selection activeCell="D17" sqref="D17"/>
    </sheetView>
  </sheetViews>
  <sheetFormatPr defaultRowHeight="15" x14ac:dyDescent="0.25"/>
  <cols>
    <col min="1" max="1" width="6" style="9" customWidth="1"/>
    <col min="2" max="2" width="11" customWidth="1"/>
    <col min="3" max="3" width="13" customWidth="1"/>
    <col min="4" max="4" width="14" customWidth="1"/>
    <col min="5" max="5" width="17.5703125" customWidth="1"/>
    <col min="6" max="6" width="11.42578125" style="52" customWidth="1"/>
    <col min="7" max="7" width="12.140625" customWidth="1"/>
    <col min="8" max="8" width="12.85546875" customWidth="1"/>
    <col min="9" max="9" width="17.140625" customWidth="1"/>
    <col min="10" max="12" width="17.140625" style="23" customWidth="1"/>
    <col min="13" max="13" width="17.140625" style="229" customWidth="1"/>
    <col min="14" max="14" width="9.85546875" customWidth="1"/>
  </cols>
  <sheetData>
    <row r="1" spans="1:15" ht="3" customHeight="1" thickBot="1" x14ac:dyDescent="0.3"/>
    <row r="2" spans="1:15" ht="48" customHeight="1" thickTop="1" thickBot="1" x14ac:dyDescent="0.3">
      <c r="A2" s="569" t="s">
        <v>55</v>
      </c>
      <c r="B2" s="569"/>
      <c r="C2" s="569"/>
      <c r="D2" s="569"/>
      <c r="E2" s="569"/>
      <c r="F2" s="569"/>
      <c r="G2" s="569"/>
      <c r="H2" s="569"/>
      <c r="I2" s="569"/>
      <c r="J2" s="560"/>
      <c r="K2" s="560"/>
      <c r="L2" s="560"/>
      <c r="M2" s="560"/>
      <c r="N2" s="569"/>
    </row>
    <row r="3" spans="1:15" s="12" customFormat="1" ht="15" customHeight="1" thickTop="1" thickBot="1" x14ac:dyDescent="0.3">
      <c r="A3" s="568" t="s">
        <v>2</v>
      </c>
      <c r="B3" s="568" t="s">
        <v>0</v>
      </c>
      <c r="C3" s="568" t="s">
        <v>48</v>
      </c>
      <c r="D3" s="568" t="s">
        <v>37</v>
      </c>
      <c r="E3" s="568" t="s">
        <v>3</v>
      </c>
      <c r="F3" s="570" t="s">
        <v>116</v>
      </c>
      <c r="G3" s="571" t="s">
        <v>4</v>
      </c>
      <c r="H3" s="571" t="s">
        <v>5</v>
      </c>
      <c r="I3" s="568" t="s">
        <v>873</v>
      </c>
      <c r="J3" s="547" t="s">
        <v>856</v>
      </c>
      <c r="K3" s="183" t="s">
        <v>633</v>
      </c>
      <c r="L3" s="180" t="s">
        <v>636</v>
      </c>
      <c r="M3" s="230" t="s">
        <v>635</v>
      </c>
      <c r="N3" s="568" t="s">
        <v>35</v>
      </c>
    </row>
    <row r="4" spans="1:15" s="12" customFormat="1" ht="42.75" customHeight="1" thickTop="1" thickBot="1" x14ac:dyDescent="0.3">
      <c r="A4" s="568"/>
      <c r="B4" s="568"/>
      <c r="C4" s="568"/>
      <c r="D4" s="568"/>
      <c r="E4" s="568"/>
      <c r="F4" s="570"/>
      <c r="G4" s="571"/>
      <c r="H4" s="571"/>
      <c r="I4" s="568"/>
      <c r="J4" s="548"/>
      <c r="K4" s="184"/>
      <c r="L4" s="181"/>
      <c r="M4" s="231"/>
      <c r="N4" s="568"/>
    </row>
    <row r="5" spans="1:15" s="94" customFormat="1" ht="96" customHeight="1" thickTop="1" thickBot="1" x14ac:dyDescent="0.3">
      <c r="A5" s="98">
        <v>50</v>
      </c>
      <c r="B5" s="105" t="s">
        <v>29</v>
      </c>
      <c r="C5" s="108" t="s">
        <v>172</v>
      </c>
      <c r="D5" s="109" t="s">
        <v>620</v>
      </c>
      <c r="E5" s="109" t="s">
        <v>173</v>
      </c>
      <c r="F5" s="100">
        <v>80000</v>
      </c>
      <c r="G5" s="84" t="s">
        <v>149</v>
      </c>
      <c r="H5" s="102" t="s">
        <v>157</v>
      </c>
      <c r="I5" s="110" t="s">
        <v>335</v>
      </c>
      <c r="J5" s="157" t="s">
        <v>764</v>
      </c>
      <c r="K5" s="157" t="s">
        <v>733</v>
      </c>
      <c r="L5" s="157" t="s">
        <v>765</v>
      </c>
      <c r="M5" s="224">
        <v>0</v>
      </c>
      <c r="N5" s="92" t="s">
        <v>58</v>
      </c>
    </row>
    <row r="6" spans="1:15" s="94" customFormat="1" ht="106.5" customHeight="1" thickTop="1" thickBot="1" x14ac:dyDescent="0.3">
      <c r="A6" s="98">
        <v>50</v>
      </c>
      <c r="B6" s="105" t="s">
        <v>29</v>
      </c>
      <c r="C6" s="108" t="s">
        <v>172</v>
      </c>
      <c r="D6" s="109" t="s">
        <v>621</v>
      </c>
      <c r="E6" s="109" t="s">
        <v>174</v>
      </c>
      <c r="F6" s="100">
        <v>8000</v>
      </c>
      <c r="G6" s="84" t="s">
        <v>149</v>
      </c>
      <c r="H6" s="102" t="s">
        <v>171</v>
      </c>
      <c r="I6" s="110" t="s">
        <v>767</v>
      </c>
      <c r="J6" s="157" t="s">
        <v>766</v>
      </c>
      <c r="K6" s="157" t="s">
        <v>733</v>
      </c>
      <c r="L6" s="157" t="s">
        <v>765</v>
      </c>
      <c r="M6" s="224">
        <v>0</v>
      </c>
      <c r="N6" s="92" t="s">
        <v>58</v>
      </c>
    </row>
    <row r="7" spans="1:15" s="94" customFormat="1" ht="113.25" customHeight="1" thickTop="1" thickBot="1" x14ac:dyDescent="0.3">
      <c r="A7" s="98">
        <v>50</v>
      </c>
      <c r="B7" s="105" t="s">
        <v>29</v>
      </c>
      <c r="C7" s="108" t="s">
        <v>172</v>
      </c>
      <c r="D7" s="109" t="s">
        <v>336</v>
      </c>
      <c r="E7" s="109" t="s">
        <v>175</v>
      </c>
      <c r="F7" s="100">
        <v>550000</v>
      </c>
      <c r="G7" s="84" t="s">
        <v>149</v>
      </c>
      <c r="H7" s="102" t="s">
        <v>157</v>
      </c>
      <c r="I7" s="110" t="s">
        <v>567</v>
      </c>
      <c r="J7" s="157" t="s">
        <v>768</v>
      </c>
      <c r="K7" s="157" t="s">
        <v>733</v>
      </c>
      <c r="L7" s="157" t="s">
        <v>765</v>
      </c>
      <c r="M7" s="224">
        <v>0</v>
      </c>
      <c r="N7" s="92" t="s">
        <v>58</v>
      </c>
    </row>
    <row r="8" spans="1:15" s="13" customFormat="1" ht="76.5" customHeight="1" thickTop="1" thickBot="1" x14ac:dyDescent="0.3">
      <c r="A8" s="98">
        <v>54</v>
      </c>
      <c r="B8" s="84" t="s">
        <v>26</v>
      </c>
      <c r="C8" s="84" t="s">
        <v>50</v>
      </c>
      <c r="D8" s="84" t="s">
        <v>568</v>
      </c>
      <c r="E8" s="102" t="s">
        <v>178</v>
      </c>
      <c r="F8" s="103">
        <v>20000</v>
      </c>
      <c r="G8" s="99" t="s">
        <v>149</v>
      </c>
      <c r="H8" s="99" t="s">
        <v>171</v>
      </c>
      <c r="I8" s="84" t="s">
        <v>524</v>
      </c>
      <c r="J8" s="158" t="s">
        <v>769</v>
      </c>
      <c r="K8" s="157" t="s">
        <v>733</v>
      </c>
      <c r="L8" s="157" t="s">
        <v>765</v>
      </c>
      <c r="M8" s="232">
        <v>0</v>
      </c>
      <c r="N8" s="84" t="s">
        <v>179</v>
      </c>
    </row>
    <row r="9" spans="1:15" s="13" customFormat="1" ht="87" customHeight="1" thickTop="1" thickBot="1" x14ac:dyDescent="0.3">
      <c r="A9" s="98">
        <v>52</v>
      </c>
      <c r="B9" s="84" t="s">
        <v>26</v>
      </c>
      <c r="C9" s="84" t="s">
        <v>62</v>
      </c>
      <c r="D9" s="84" t="s">
        <v>569</v>
      </c>
      <c r="E9" s="102" t="s">
        <v>260</v>
      </c>
      <c r="F9" s="103">
        <v>200000</v>
      </c>
      <c r="G9" s="99" t="s">
        <v>149</v>
      </c>
      <c r="H9" s="99" t="s">
        <v>171</v>
      </c>
      <c r="I9" s="84" t="s">
        <v>524</v>
      </c>
      <c r="J9" s="158" t="s">
        <v>1409</v>
      </c>
      <c r="K9" s="157" t="s">
        <v>733</v>
      </c>
      <c r="L9" s="157" t="s">
        <v>765</v>
      </c>
      <c r="M9" s="232">
        <v>0</v>
      </c>
      <c r="N9" s="84" t="s">
        <v>179</v>
      </c>
    </row>
    <row r="10" spans="1:15" ht="87" customHeight="1" thickTop="1" thickBot="1" x14ac:dyDescent="0.3">
      <c r="A10" s="21">
        <v>50</v>
      </c>
      <c r="B10" s="20" t="s">
        <v>29</v>
      </c>
      <c r="C10" s="20" t="s">
        <v>40</v>
      </c>
      <c r="D10" s="20" t="s">
        <v>105</v>
      </c>
      <c r="E10" s="20" t="s">
        <v>30</v>
      </c>
      <c r="F10" s="39" t="s">
        <v>11</v>
      </c>
      <c r="G10" s="65" t="s">
        <v>149</v>
      </c>
      <c r="H10" s="55" t="s">
        <v>148</v>
      </c>
      <c r="I10" s="20" t="s">
        <v>78</v>
      </c>
      <c r="J10" s="157" t="s">
        <v>770</v>
      </c>
      <c r="K10" s="177" t="s">
        <v>1</v>
      </c>
      <c r="L10" s="177" t="s">
        <v>1</v>
      </c>
      <c r="M10" s="233" t="s">
        <v>13</v>
      </c>
      <c r="N10" s="24" t="s">
        <v>58</v>
      </c>
    </row>
    <row r="11" spans="1:15" s="46" customFormat="1" ht="98.25" customHeight="1" thickTop="1" thickBot="1" x14ac:dyDescent="0.3">
      <c r="A11" s="37">
        <v>50</v>
      </c>
      <c r="B11" s="74" t="s">
        <v>29</v>
      </c>
      <c r="C11" s="74" t="s">
        <v>39</v>
      </c>
      <c r="D11" s="74" t="s">
        <v>330</v>
      </c>
      <c r="E11" s="74" t="s">
        <v>82</v>
      </c>
      <c r="F11" s="39" t="s">
        <v>11</v>
      </c>
      <c r="G11" s="74" t="s">
        <v>149</v>
      </c>
      <c r="H11" s="55" t="s">
        <v>148</v>
      </c>
      <c r="I11" s="74" t="s">
        <v>329</v>
      </c>
      <c r="J11" s="156" t="s">
        <v>771</v>
      </c>
      <c r="K11" s="177" t="s">
        <v>1</v>
      </c>
      <c r="L11" s="177" t="s">
        <v>1</v>
      </c>
      <c r="M11" s="233" t="s">
        <v>13</v>
      </c>
      <c r="N11" s="66" t="s">
        <v>58</v>
      </c>
      <c r="O11" s="53"/>
    </row>
    <row r="12" spans="1:15" s="48" customFormat="1" ht="89.25" customHeight="1" thickTop="1" thickBot="1" x14ac:dyDescent="0.3">
      <c r="A12" s="54">
        <v>50</v>
      </c>
      <c r="B12" s="55" t="s">
        <v>29</v>
      </c>
      <c r="C12" s="55" t="s">
        <v>39</v>
      </c>
      <c r="D12" s="55" t="s">
        <v>331</v>
      </c>
      <c r="E12" s="55" t="s">
        <v>31</v>
      </c>
      <c r="F12" s="39" t="s">
        <v>11</v>
      </c>
      <c r="G12" s="65" t="s">
        <v>149</v>
      </c>
      <c r="H12" s="55" t="s">
        <v>148</v>
      </c>
      <c r="I12" s="74" t="s">
        <v>106</v>
      </c>
      <c r="J12" s="156" t="s">
        <v>772</v>
      </c>
      <c r="K12" s="157" t="s">
        <v>773</v>
      </c>
      <c r="L12" s="156" t="s">
        <v>774</v>
      </c>
      <c r="M12" s="233" t="s">
        <v>13</v>
      </c>
      <c r="N12" s="66" t="s">
        <v>58</v>
      </c>
    </row>
    <row r="13" spans="1:15" s="2" customFormat="1" ht="121.5" customHeight="1" thickTop="1" thickBot="1" x14ac:dyDescent="0.3">
      <c r="A13" s="67">
        <v>50</v>
      </c>
      <c r="B13" s="26" t="s">
        <v>29</v>
      </c>
      <c r="C13" s="68" t="s">
        <v>38</v>
      </c>
      <c r="D13" s="26" t="s">
        <v>333</v>
      </c>
      <c r="E13" s="69" t="s">
        <v>96</v>
      </c>
      <c r="F13" s="39" t="s">
        <v>11</v>
      </c>
      <c r="G13" s="70" t="s">
        <v>149</v>
      </c>
      <c r="H13" s="55" t="s">
        <v>148</v>
      </c>
      <c r="I13" s="71" t="s">
        <v>332</v>
      </c>
      <c r="J13" s="178" t="s">
        <v>775</v>
      </c>
      <c r="K13" s="178" t="s">
        <v>1</v>
      </c>
      <c r="L13" s="178" t="s">
        <v>1</v>
      </c>
      <c r="M13" s="233" t="s">
        <v>13</v>
      </c>
      <c r="N13" s="72" t="s">
        <v>58</v>
      </c>
    </row>
    <row r="14" spans="1:15" s="23" customFormat="1" ht="73.5" customHeight="1" thickTop="1" thickBot="1" x14ac:dyDescent="0.3">
      <c r="A14" s="21">
        <v>50</v>
      </c>
      <c r="B14" s="20" t="s">
        <v>29</v>
      </c>
      <c r="C14" s="17" t="s">
        <v>38</v>
      </c>
      <c r="D14" s="16" t="s">
        <v>334</v>
      </c>
      <c r="E14" s="16" t="s">
        <v>84</v>
      </c>
      <c r="F14" s="39" t="s">
        <v>11</v>
      </c>
      <c r="G14" s="18" t="s">
        <v>149</v>
      </c>
      <c r="H14" s="55" t="s">
        <v>148</v>
      </c>
      <c r="I14" s="15" t="s">
        <v>97</v>
      </c>
      <c r="J14" s="179" t="s">
        <v>807</v>
      </c>
      <c r="K14" s="178" t="s">
        <v>1</v>
      </c>
      <c r="L14" s="178" t="s">
        <v>1</v>
      </c>
      <c r="M14" s="225">
        <v>240</v>
      </c>
      <c r="N14" s="30" t="s">
        <v>58</v>
      </c>
    </row>
    <row r="15" spans="1:15" s="23" customFormat="1" ht="60" customHeight="1" thickTop="1" x14ac:dyDescent="0.25">
      <c r="A15" s="33"/>
      <c r="B15" s="34"/>
      <c r="C15" s="35"/>
      <c r="D15" s="32"/>
      <c r="E15" s="32"/>
      <c r="F15" s="64"/>
      <c r="G15" s="36"/>
      <c r="H15" s="32"/>
      <c r="I15" s="34"/>
      <c r="J15" s="34"/>
      <c r="K15" s="34"/>
      <c r="L15" s="34"/>
      <c r="M15" s="234"/>
      <c r="N15" s="28"/>
    </row>
  </sheetData>
  <mergeCells count="12">
    <mergeCell ref="N3:N4"/>
    <mergeCell ref="D3:D4"/>
    <mergeCell ref="A2:N2"/>
    <mergeCell ref="A3:A4"/>
    <mergeCell ref="B3:B4"/>
    <mergeCell ref="C3:C4"/>
    <mergeCell ref="E3:E4"/>
    <mergeCell ref="F3:F4"/>
    <mergeCell ref="G3:G4"/>
    <mergeCell ref="H3:H4"/>
    <mergeCell ref="I3:I4"/>
    <mergeCell ref="J3:J4"/>
  </mergeCells>
  <pageMargins left="0.70866141732283505" right="0.70866141732283505" top="0.74803149606299202" bottom="0.74803149606299202" header="0.31496062992126" footer="0.31496062992126"/>
  <pageSetup paperSize="9" scale="65" fitToHeight="0"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38"/>
  <sheetViews>
    <sheetView view="pageBreakPreview" topLeftCell="A15" zoomScale="90" zoomScaleSheetLayoutView="90" workbookViewId="0">
      <selection activeCell="D17" sqref="D17"/>
    </sheetView>
  </sheetViews>
  <sheetFormatPr defaultRowHeight="15" x14ac:dyDescent="0.25"/>
  <cols>
    <col min="1" max="1" width="5.85546875" style="9" customWidth="1"/>
    <col min="2" max="2" width="16" customWidth="1"/>
    <col min="3" max="3" width="15.7109375" style="41" customWidth="1"/>
    <col min="4" max="4" width="13.7109375" customWidth="1"/>
    <col min="5" max="5" width="19.28515625" style="14" customWidth="1"/>
    <col min="6" max="6" width="11.7109375" style="86" bestFit="1" customWidth="1"/>
    <col min="7" max="7" width="10.5703125" customWidth="1"/>
    <col min="8" max="8" width="11.7109375" customWidth="1"/>
    <col min="9" max="9" width="16.140625" style="41" customWidth="1"/>
    <col min="10" max="10" width="14.85546875" style="477" customWidth="1"/>
    <col min="11" max="13" width="14.85546875" style="23" customWidth="1"/>
    <col min="14" max="14" width="10.85546875" style="29" customWidth="1"/>
  </cols>
  <sheetData>
    <row r="1" spans="1:14" ht="39.75" customHeight="1" thickTop="1" thickBot="1" x14ac:dyDescent="0.3">
      <c r="A1" s="573" t="s">
        <v>57</v>
      </c>
      <c r="B1" s="573"/>
      <c r="C1" s="573"/>
      <c r="D1" s="573"/>
      <c r="E1" s="573"/>
      <c r="F1" s="573"/>
      <c r="G1" s="573"/>
      <c r="H1" s="573"/>
      <c r="I1" s="573"/>
      <c r="J1" s="574"/>
      <c r="K1" s="574"/>
      <c r="L1" s="574"/>
      <c r="M1" s="574"/>
      <c r="N1" s="573"/>
    </row>
    <row r="2" spans="1:14" s="12" customFormat="1" ht="29.25" customHeight="1" thickTop="1" thickBot="1" x14ac:dyDescent="0.3">
      <c r="A2" s="568" t="s">
        <v>2</v>
      </c>
      <c r="B2" s="568" t="s">
        <v>0</v>
      </c>
      <c r="C2" s="571" t="s">
        <v>48</v>
      </c>
      <c r="D2" s="568" t="s">
        <v>37</v>
      </c>
      <c r="E2" s="568" t="s">
        <v>3</v>
      </c>
      <c r="F2" s="575" t="s">
        <v>116</v>
      </c>
      <c r="G2" s="571" t="s">
        <v>4</v>
      </c>
      <c r="H2" s="571" t="s">
        <v>5</v>
      </c>
      <c r="I2" s="571" t="s">
        <v>860</v>
      </c>
      <c r="J2" s="576" t="s">
        <v>859</v>
      </c>
      <c r="K2" s="180" t="s">
        <v>637</v>
      </c>
      <c r="L2" s="180" t="s">
        <v>636</v>
      </c>
      <c r="M2" s="180" t="s">
        <v>635</v>
      </c>
      <c r="N2" s="572" t="s">
        <v>35</v>
      </c>
    </row>
    <row r="3" spans="1:14" s="12" customFormat="1" ht="17.25" customHeight="1" thickTop="1" thickBot="1" x14ac:dyDescent="0.3">
      <c r="A3" s="568"/>
      <c r="B3" s="568"/>
      <c r="C3" s="571"/>
      <c r="D3" s="568"/>
      <c r="E3" s="568"/>
      <c r="F3" s="575"/>
      <c r="G3" s="571"/>
      <c r="H3" s="571"/>
      <c r="I3" s="571"/>
      <c r="J3" s="577"/>
      <c r="K3" s="181"/>
      <c r="L3" s="181"/>
      <c r="M3" s="181"/>
      <c r="N3" s="572"/>
    </row>
    <row r="4" spans="1:14" s="13" customFormat="1" ht="73.5" customHeight="1" thickTop="1" thickBot="1" x14ac:dyDescent="0.3">
      <c r="A4" s="105">
        <v>34</v>
      </c>
      <c r="B4" s="105" t="s">
        <v>25</v>
      </c>
      <c r="C4" s="105" t="s">
        <v>326</v>
      </c>
      <c r="D4" s="105" t="s">
        <v>410</v>
      </c>
      <c r="E4" s="101" t="s">
        <v>353</v>
      </c>
      <c r="F4" s="113">
        <v>100000</v>
      </c>
      <c r="G4" s="105" t="s">
        <v>149</v>
      </c>
      <c r="H4" s="105" t="s">
        <v>148</v>
      </c>
      <c r="I4" s="191" t="s">
        <v>432</v>
      </c>
      <c r="J4" s="213" t="s">
        <v>1368</v>
      </c>
      <c r="K4" s="213" t="s">
        <v>825</v>
      </c>
      <c r="L4" s="213" t="s">
        <v>843</v>
      </c>
      <c r="M4" s="185">
        <v>0</v>
      </c>
      <c r="N4" s="121" t="s">
        <v>6</v>
      </c>
    </row>
    <row r="5" spans="1:14" s="94" customFormat="1" ht="71.25" customHeight="1" thickTop="1" thickBot="1" x14ac:dyDescent="0.3">
      <c r="A5" s="105">
        <v>40</v>
      </c>
      <c r="B5" s="105" t="s">
        <v>25</v>
      </c>
      <c r="C5" s="105" t="s">
        <v>326</v>
      </c>
      <c r="D5" s="105" t="s">
        <v>411</v>
      </c>
      <c r="E5" s="105" t="s">
        <v>134</v>
      </c>
      <c r="F5" s="113">
        <v>200000</v>
      </c>
      <c r="G5" s="105" t="s">
        <v>150</v>
      </c>
      <c r="H5" s="105" t="s">
        <v>157</v>
      </c>
      <c r="I5" s="191" t="s">
        <v>1</v>
      </c>
      <c r="J5" s="191" t="s">
        <v>1</v>
      </c>
      <c r="K5" s="105" t="s">
        <v>1</v>
      </c>
      <c r="L5" s="105" t="s">
        <v>1</v>
      </c>
      <c r="M5" s="185">
        <v>0</v>
      </c>
      <c r="N5" s="120" t="s">
        <v>6</v>
      </c>
    </row>
    <row r="6" spans="1:14" s="94" customFormat="1" ht="120.75" customHeight="1" thickTop="1" thickBot="1" x14ac:dyDescent="0.3">
      <c r="A6" s="105">
        <v>34</v>
      </c>
      <c r="B6" s="105" t="s">
        <v>25</v>
      </c>
      <c r="C6" s="105" t="s">
        <v>326</v>
      </c>
      <c r="D6" s="114" t="s">
        <v>352</v>
      </c>
      <c r="E6" s="114" t="s">
        <v>135</v>
      </c>
      <c r="F6" s="113">
        <v>100000</v>
      </c>
      <c r="G6" s="105" t="s">
        <v>149</v>
      </c>
      <c r="H6" s="105" t="s">
        <v>148</v>
      </c>
      <c r="I6" s="191" t="s">
        <v>354</v>
      </c>
      <c r="J6" s="213" t="s">
        <v>700</v>
      </c>
      <c r="K6" s="158" t="s">
        <v>1</v>
      </c>
      <c r="L6" s="158" t="s">
        <v>1</v>
      </c>
      <c r="M6" s="185">
        <v>59335</v>
      </c>
      <c r="N6" s="121" t="s">
        <v>17</v>
      </c>
    </row>
    <row r="7" spans="1:14" s="13" customFormat="1" ht="90.75" customHeight="1" thickTop="1" thickBot="1" x14ac:dyDescent="0.3">
      <c r="A7" s="105">
        <v>46</v>
      </c>
      <c r="B7" s="105" t="s">
        <v>25</v>
      </c>
      <c r="C7" s="106" t="s">
        <v>152</v>
      </c>
      <c r="D7" s="105" t="s">
        <v>412</v>
      </c>
      <c r="E7" s="105" t="s">
        <v>136</v>
      </c>
      <c r="F7" s="119">
        <v>318600</v>
      </c>
      <c r="G7" s="105" t="s">
        <v>151</v>
      </c>
      <c r="H7" s="105" t="s">
        <v>148</v>
      </c>
      <c r="I7" s="191" t="s">
        <v>168</v>
      </c>
      <c r="J7" s="213" t="s">
        <v>701</v>
      </c>
      <c r="K7" s="158" t="s">
        <v>1</v>
      </c>
      <c r="L7" s="158" t="s">
        <v>1</v>
      </c>
      <c r="M7" s="158"/>
      <c r="N7" s="122" t="s">
        <v>17</v>
      </c>
    </row>
    <row r="8" spans="1:14" s="13" customFormat="1" ht="57" customHeight="1" thickTop="1" thickBot="1" x14ac:dyDescent="0.3">
      <c r="A8" s="105">
        <v>40</v>
      </c>
      <c r="B8" s="105" t="s">
        <v>25</v>
      </c>
      <c r="C8" s="106" t="s">
        <v>153</v>
      </c>
      <c r="D8" s="105" t="s">
        <v>433</v>
      </c>
      <c r="E8" s="105" t="s">
        <v>137</v>
      </c>
      <c r="F8" s="119">
        <v>30798</v>
      </c>
      <c r="G8" s="127" t="s">
        <v>151</v>
      </c>
      <c r="H8" s="105" t="s">
        <v>533</v>
      </c>
      <c r="I8" s="191" t="s">
        <v>1</v>
      </c>
      <c r="J8" s="191" t="s">
        <v>1</v>
      </c>
      <c r="K8" s="105" t="s">
        <v>1</v>
      </c>
      <c r="L8" s="105" t="s">
        <v>1</v>
      </c>
      <c r="M8" s="185">
        <v>18200</v>
      </c>
      <c r="N8" s="121" t="s">
        <v>6</v>
      </c>
    </row>
    <row r="9" spans="1:14" s="13" customFormat="1" ht="125.25" customHeight="1" thickTop="1" thickBot="1" x14ac:dyDescent="0.3">
      <c r="A9" s="105">
        <v>40</v>
      </c>
      <c r="B9" s="105" t="s">
        <v>25</v>
      </c>
      <c r="C9" s="106" t="s">
        <v>73</v>
      </c>
      <c r="D9" s="102" t="s">
        <v>485</v>
      </c>
      <c r="E9" s="105" t="s">
        <v>138</v>
      </c>
      <c r="F9" s="107" t="s">
        <v>139</v>
      </c>
      <c r="G9" s="110" t="s">
        <v>149</v>
      </c>
      <c r="H9" s="110" t="s">
        <v>148</v>
      </c>
      <c r="I9" s="110" t="s">
        <v>413</v>
      </c>
      <c r="J9" s="157" t="s">
        <v>702</v>
      </c>
      <c r="K9" s="155" t="s">
        <v>1</v>
      </c>
      <c r="L9" s="155" t="s">
        <v>1</v>
      </c>
      <c r="M9" s="185">
        <v>158321</v>
      </c>
      <c r="N9" s="123" t="s">
        <v>6</v>
      </c>
    </row>
    <row r="10" spans="1:14" s="94" customFormat="1" ht="52.5" customHeight="1" thickTop="1" thickBot="1" x14ac:dyDescent="0.3">
      <c r="A10" s="105">
        <v>54</v>
      </c>
      <c r="B10" s="105" t="s">
        <v>25</v>
      </c>
      <c r="C10" s="106" t="s">
        <v>154</v>
      </c>
      <c r="D10" s="105" t="s">
        <v>414</v>
      </c>
      <c r="E10" s="105" t="s">
        <v>140</v>
      </c>
      <c r="F10" s="113">
        <v>100000</v>
      </c>
      <c r="G10" s="110" t="s">
        <v>149</v>
      </c>
      <c r="H10" s="110" t="s">
        <v>148</v>
      </c>
      <c r="I10" s="192">
        <v>0.5</v>
      </c>
      <c r="J10" s="484" t="s">
        <v>1369</v>
      </c>
      <c r="K10" s="155" t="s">
        <v>1</v>
      </c>
      <c r="L10" s="155" t="s">
        <v>1</v>
      </c>
      <c r="M10" s="185">
        <v>51321</v>
      </c>
      <c r="N10" s="121" t="s">
        <v>6</v>
      </c>
    </row>
    <row r="11" spans="1:14" s="94" customFormat="1" ht="55.5" customHeight="1" thickTop="1" thickBot="1" x14ac:dyDescent="0.3">
      <c r="A11" s="105">
        <v>40</v>
      </c>
      <c r="B11" s="105" t="s">
        <v>25</v>
      </c>
      <c r="C11" s="110" t="s">
        <v>72</v>
      </c>
      <c r="D11" s="115" t="s">
        <v>169</v>
      </c>
      <c r="E11" s="116" t="s">
        <v>141</v>
      </c>
      <c r="F11" s="113">
        <v>350000</v>
      </c>
      <c r="G11" s="110" t="s">
        <v>149</v>
      </c>
      <c r="H11" s="110" t="s">
        <v>148</v>
      </c>
      <c r="I11" s="110">
        <v>2</v>
      </c>
      <c r="J11" s="213" t="s">
        <v>844</v>
      </c>
      <c r="K11" s="163" t="s">
        <v>845</v>
      </c>
      <c r="L11" s="163" t="s">
        <v>846</v>
      </c>
      <c r="M11" s="235">
        <v>0</v>
      </c>
      <c r="N11" s="121" t="s">
        <v>6</v>
      </c>
    </row>
    <row r="12" spans="1:14" s="94" customFormat="1" ht="63" customHeight="1" thickTop="1" thickBot="1" x14ac:dyDescent="0.3">
      <c r="A12" s="105">
        <v>40</v>
      </c>
      <c r="B12" s="105" t="s">
        <v>25</v>
      </c>
      <c r="C12" s="110" t="s">
        <v>72</v>
      </c>
      <c r="D12" s="102" t="s">
        <v>170</v>
      </c>
      <c r="E12" s="118" t="s">
        <v>142</v>
      </c>
      <c r="F12" s="117">
        <v>20000</v>
      </c>
      <c r="G12" s="110" t="s">
        <v>149</v>
      </c>
      <c r="H12" s="110" t="s">
        <v>171</v>
      </c>
      <c r="I12" s="236">
        <v>1</v>
      </c>
      <c r="J12" s="157" t="s">
        <v>847</v>
      </c>
      <c r="K12" s="158" t="s">
        <v>733</v>
      </c>
      <c r="L12" s="155" t="s">
        <v>848</v>
      </c>
      <c r="M12" s="235">
        <v>0</v>
      </c>
      <c r="N12" s="121" t="s">
        <v>6</v>
      </c>
    </row>
    <row r="13" spans="1:14" s="96" customFormat="1" ht="84.75" customHeight="1" thickTop="1" thickBot="1" x14ac:dyDescent="0.3">
      <c r="A13" s="105">
        <v>40</v>
      </c>
      <c r="B13" s="105" t="s">
        <v>25</v>
      </c>
      <c r="C13" s="105" t="s">
        <v>6</v>
      </c>
      <c r="D13" s="105" t="s">
        <v>375</v>
      </c>
      <c r="E13" s="105" t="s">
        <v>374</v>
      </c>
      <c r="F13" s="113">
        <v>700000</v>
      </c>
      <c r="G13" s="74" t="s">
        <v>379</v>
      </c>
      <c r="H13" s="74" t="s">
        <v>570</v>
      </c>
      <c r="I13" s="191" t="s">
        <v>861</v>
      </c>
      <c r="J13" s="213" t="s">
        <v>703</v>
      </c>
      <c r="K13" s="158" t="s">
        <v>1410</v>
      </c>
      <c r="L13" s="158" t="s">
        <v>776</v>
      </c>
      <c r="M13" s="235">
        <v>0</v>
      </c>
      <c r="N13" s="121" t="s">
        <v>6</v>
      </c>
    </row>
    <row r="14" spans="1:14" s="94" customFormat="1" ht="68.25" customHeight="1" thickTop="1" thickBot="1" x14ac:dyDescent="0.3">
      <c r="A14" s="105">
        <v>40</v>
      </c>
      <c r="B14" s="105" t="s">
        <v>25</v>
      </c>
      <c r="C14" s="105" t="s">
        <v>6</v>
      </c>
      <c r="D14" s="105" t="s">
        <v>622</v>
      </c>
      <c r="E14" s="105" t="s">
        <v>378</v>
      </c>
      <c r="F14" s="113">
        <v>40000</v>
      </c>
      <c r="G14" s="74" t="s">
        <v>149</v>
      </c>
      <c r="H14" s="74" t="s">
        <v>171</v>
      </c>
      <c r="I14" s="105" t="s">
        <v>377</v>
      </c>
      <c r="J14" s="191" t="s">
        <v>777</v>
      </c>
      <c r="K14" s="157" t="s">
        <v>733</v>
      </c>
      <c r="L14" s="191" t="s">
        <v>849</v>
      </c>
      <c r="M14" s="235">
        <v>0</v>
      </c>
      <c r="N14" s="121" t="s">
        <v>6</v>
      </c>
    </row>
    <row r="15" spans="1:14" s="94" customFormat="1" ht="66.75" customHeight="1" thickTop="1" thickBot="1" x14ac:dyDescent="0.3">
      <c r="A15" s="105">
        <v>40</v>
      </c>
      <c r="B15" s="105" t="s">
        <v>25</v>
      </c>
      <c r="C15" s="105" t="s">
        <v>6</v>
      </c>
      <c r="D15" s="105" t="s">
        <v>497</v>
      </c>
      <c r="E15" s="105" t="s">
        <v>356</v>
      </c>
      <c r="F15" s="113">
        <v>5000</v>
      </c>
      <c r="G15" s="74" t="s">
        <v>149</v>
      </c>
      <c r="H15" s="74" t="s">
        <v>171</v>
      </c>
      <c r="I15" s="105" t="s">
        <v>377</v>
      </c>
      <c r="J15" s="191" t="s">
        <v>778</v>
      </c>
      <c r="K15" s="191" t="s">
        <v>779</v>
      </c>
      <c r="L15" s="157" t="s">
        <v>730</v>
      </c>
      <c r="M15" s="235">
        <v>0</v>
      </c>
      <c r="N15" s="121" t="s">
        <v>6</v>
      </c>
    </row>
    <row r="16" spans="1:14" s="94" customFormat="1" ht="66.75" customHeight="1" thickTop="1" thickBot="1" x14ac:dyDescent="0.3">
      <c r="A16" s="105">
        <v>40</v>
      </c>
      <c r="B16" s="105" t="s">
        <v>25</v>
      </c>
      <c r="C16" s="105" t="s">
        <v>6</v>
      </c>
      <c r="D16" s="105" t="s">
        <v>573</v>
      </c>
      <c r="E16" s="105" t="s">
        <v>357</v>
      </c>
      <c r="F16" s="113">
        <v>5000</v>
      </c>
      <c r="G16" s="74" t="s">
        <v>149</v>
      </c>
      <c r="H16" s="74" t="s">
        <v>171</v>
      </c>
      <c r="I16" s="105" t="s">
        <v>377</v>
      </c>
      <c r="J16" s="191" t="s">
        <v>780</v>
      </c>
      <c r="K16" s="158" t="s">
        <v>733</v>
      </c>
      <c r="L16" s="158" t="s">
        <v>781</v>
      </c>
      <c r="M16" s="235">
        <v>0</v>
      </c>
      <c r="N16" s="121" t="s">
        <v>6</v>
      </c>
    </row>
    <row r="17" spans="1:14" s="94" customFormat="1" ht="66.75" customHeight="1" thickTop="1" thickBot="1" x14ac:dyDescent="0.3">
      <c r="A17" s="105">
        <v>54</v>
      </c>
      <c r="B17" s="105" t="s">
        <v>25</v>
      </c>
      <c r="C17" s="105" t="s">
        <v>50</v>
      </c>
      <c r="D17" s="105" t="s">
        <v>572</v>
      </c>
      <c r="E17" s="105" t="s">
        <v>358</v>
      </c>
      <c r="F17" s="113">
        <v>15000</v>
      </c>
      <c r="G17" s="74" t="s">
        <v>149</v>
      </c>
      <c r="H17" s="74" t="s">
        <v>171</v>
      </c>
      <c r="I17" s="105" t="s">
        <v>377</v>
      </c>
      <c r="J17" s="191" t="s">
        <v>778</v>
      </c>
      <c r="K17" s="191" t="s">
        <v>782</v>
      </c>
      <c r="L17" s="157" t="s">
        <v>730</v>
      </c>
      <c r="M17" s="235">
        <v>0</v>
      </c>
      <c r="N17" s="121" t="s">
        <v>17</v>
      </c>
    </row>
    <row r="18" spans="1:14" s="94" customFormat="1" ht="76.5" customHeight="1" thickTop="1" thickBot="1" x14ac:dyDescent="0.3">
      <c r="A18" s="105">
        <v>54</v>
      </c>
      <c r="B18" s="105" t="s">
        <v>25</v>
      </c>
      <c r="C18" s="105" t="s">
        <v>50</v>
      </c>
      <c r="D18" s="105" t="s">
        <v>571</v>
      </c>
      <c r="E18" s="105" t="s">
        <v>376</v>
      </c>
      <c r="F18" s="113">
        <v>8000</v>
      </c>
      <c r="G18" s="74" t="s">
        <v>149</v>
      </c>
      <c r="H18" s="74" t="s">
        <v>171</v>
      </c>
      <c r="I18" s="105" t="s">
        <v>377</v>
      </c>
      <c r="J18" s="191" t="s">
        <v>1411</v>
      </c>
      <c r="K18" s="158" t="s">
        <v>733</v>
      </c>
      <c r="L18" s="158" t="s">
        <v>781</v>
      </c>
      <c r="M18" s="235">
        <v>0</v>
      </c>
      <c r="N18" s="121" t="s">
        <v>6</v>
      </c>
    </row>
    <row r="19" spans="1:14" s="13" customFormat="1" ht="81" customHeight="1" thickTop="1" thickBot="1" x14ac:dyDescent="0.3">
      <c r="A19" s="105">
        <v>40</v>
      </c>
      <c r="B19" s="105" t="s">
        <v>25</v>
      </c>
      <c r="C19" s="105" t="s">
        <v>327</v>
      </c>
      <c r="D19" s="105" t="s">
        <v>415</v>
      </c>
      <c r="E19" s="105" t="s">
        <v>146</v>
      </c>
      <c r="F19" s="113">
        <v>280000</v>
      </c>
      <c r="G19" s="110" t="s">
        <v>149</v>
      </c>
      <c r="H19" s="110" t="s">
        <v>148</v>
      </c>
      <c r="I19" s="191" t="s">
        <v>862</v>
      </c>
      <c r="J19" s="213" t="s">
        <v>863</v>
      </c>
      <c r="K19" s="163" t="s">
        <v>1</v>
      </c>
      <c r="L19" s="163" t="s">
        <v>1</v>
      </c>
      <c r="M19" s="198">
        <v>3900</v>
      </c>
      <c r="N19" s="120" t="s">
        <v>6</v>
      </c>
    </row>
    <row r="20" spans="1:14" s="13" customFormat="1" ht="92.25" customHeight="1" thickTop="1" thickBot="1" x14ac:dyDescent="0.3">
      <c r="A20" s="105">
        <v>40</v>
      </c>
      <c r="B20" s="105" t="s">
        <v>25</v>
      </c>
      <c r="C20" s="105" t="s">
        <v>327</v>
      </c>
      <c r="D20" s="105" t="s">
        <v>418</v>
      </c>
      <c r="E20" s="105" t="s">
        <v>143</v>
      </c>
      <c r="F20" s="117">
        <v>200000</v>
      </c>
      <c r="G20" s="110" t="s">
        <v>149</v>
      </c>
      <c r="H20" s="110" t="s">
        <v>148</v>
      </c>
      <c r="I20" s="191" t="s">
        <v>864</v>
      </c>
      <c r="J20" s="213" t="s">
        <v>865</v>
      </c>
      <c r="K20" s="163" t="s">
        <v>1</v>
      </c>
      <c r="L20" s="163" t="s">
        <v>1</v>
      </c>
      <c r="M20" s="198">
        <v>105880</v>
      </c>
      <c r="N20" s="120" t="s">
        <v>6</v>
      </c>
    </row>
    <row r="21" spans="1:14" s="13" customFormat="1" ht="81.75" customHeight="1" thickTop="1" thickBot="1" x14ac:dyDescent="0.3">
      <c r="A21" s="105">
        <v>54</v>
      </c>
      <c r="B21" s="105" t="s">
        <v>25</v>
      </c>
      <c r="C21" s="105" t="s">
        <v>327</v>
      </c>
      <c r="D21" s="105" t="s">
        <v>417</v>
      </c>
      <c r="E21" s="105" t="s">
        <v>144</v>
      </c>
      <c r="F21" s="117">
        <v>100000</v>
      </c>
      <c r="G21" s="110" t="s">
        <v>149</v>
      </c>
      <c r="H21" s="110" t="s">
        <v>148</v>
      </c>
      <c r="I21" s="191" t="s">
        <v>867</v>
      </c>
      <c r="J21" s="213" t="s">
        <v>866</v>
      </c>
      <c r="K21" s="163" t="s">
        <v>1</v>
      </c>
      <c r="L21" s="163" t="s">
        <v>1</v>
      </c>
      <c r="M21" s="198">
        <v>104100</v>
      </c>
      <c r="N21" s="120" t="s">
        <v>6</v>
      </c>
    </row>
    <row r="22" spans="1:14" s="13" customFormat="1" ht="89.25" customHeight="1" thickTop="1" thickBot="1" x14ac:dyDescent="0.3">
      <c r="A22" s="105">
        <v>40</v>
      </c>
      <c r="B22" s="105" t="s">
        <v>25</v>
      </c>
      <c r="C22" s="105" t="s">
        <v>327</v>
      </c>
      <c r="D22" s="105" t="s">
        <v>416</v>
      </c>
      <c r="E22" s="105" t="s">
        <v>328</v>
      </c>
      <c r="F22" s="117">
        <v>95000</v>
      </c>
      <c r="G22" s="110" t="s">
        <v>149</v>
      </c>
      <c r="H22" s="110" t="s">
        <v>148</v>
      </c>
      <c r="I22" s="191" t="s">
        <v>869</v>
      </c>
      <c r="J22" s="213" t="s">
        <v>868</v>
      </c>
      <c r="K22" s="163" t="s">
        <v>1</v>
      </c>
      <c r="L22" s="163" t="s">
        <v>1</v>
      </c>
      <c r="M22" s="198">
        <v>0</v>
      </c>
      <c r="N22" s="120" t="s">
        <v>6</v>
      </c>
    </row>
    <row r="23" spans="1:14" s="13" customFormat="1" ht="127.5" customHeight="1" thickTop="1" thickBot="1" x14ac:dyDescent="0.3">
      <c r="A23" s="105">
        <v>40</v>
      </c>
      <c r="B23" s="105" t="s">
        <v>25</v>
      </c>
      <c r="C23" s="105" t="s">
        <v>327</v>
      </c>
      <c r="D23" s="105" t="s">
        <v>419</v>
      </c>
      <c r="E23" s="105" t="s">
        <v>145</v>
      </c>
      <c r="F23" s="117">
        <v>200000</v>
      </c>
      <c r="G23" s="110" t="s">
        <v>149</v>
      </c>
      <c r="H23" s="110" t="s">
        <v>148</v>
      </c>
      <c r="I23" s="191" t="s">
        <v>870</v>
      </c>
      <c r="J23" s="213" t="s">
        <v>850</v>
      </c>
      <c r="K23" s="163" t="s">
        <v>783</v>
      </c>
      <c r="L23" s="163" t="s">
        <v>784</v>
      </c>
      <c r="M23" s="198">
        <v>0</v>
      </c>
      <c r="N23" s="120" t="s">
        <v>6</v>
      </c>
    </row>
    <row r="24" spans="1:14" s="94" customFormat="1" ht="78" thickTop="1" thickBot="1" x14ac:dyDescent="0.3">
      <c r="A24" s="98">
        <v>14</v>
      </c>
      <c r="B24" s="84" t="s">
        <v>26</v>
      </c>
      <c r="C24" s="84" t="s">
        <v>187</v>
      </c>
      <c r="D24" s="84" t="s">
        <v>624</v>
      </c>
      <c r="E24" s="102" t="s">
        <v>188</v>
      </c>
      <c r="F24" s="154">
        <v>300000</v>
      </c>
      <c r="G24" s="121" t="s">
        <v>149</v>
      </c>
      <c r="H24" s="121" t="s">
        <v>148</v>
      </c>
      <c r="I24" s="193" t="s">
        <v>541</v>
      </c>
      <c r="J24" s="213" t="s">
        <v>670</v>
      </c>
      <c r="K24" s="158" t="s">
        <v>733</v>
      </c>
      <c r="L24" s="158" t="s">
        <v>708</v>
      </c>
      <c r="M24" s="198">
        <v>0</v>
      </c>
      <c r="N24" s="121" t="s">
        <v>179</v>
      </c>
    </row>
    <row r="25" spans="1:14" s="94" customFormat="1" ht="78" thickTop="1" thickBot="1" x14ac:dyDescent="0.3">
      <c r="A25" s="98">
        <v>14</v>
      </c>
      <c r="B25" s="84" t="s">
        <v>26</v>
      </c>
      <c r="C25" s="84" t="s">
        <v>187</v>
      </c>
      <c r="D25" s="84" t="s">
        <v>623</v>
      </c>
      <c r="E25" s="102" t="s">
        <v>147</v>
      </c>
      <c r="F25" s="154">
        <v>300000</v>
      </c>
      <c r="G25" s="121" t="s">
        <v>149</v>
      </c>
      <c r="H25" s="121" t="s">
        <v>148</v>
      </c>
      <c r="I25" s="193" t="s">
        <v>541</v>
      </c>
      <c r="J25" s="213" t="s">
        <v>670</v>
      </c>
      <c r="K25" s="158" t="s">
        <v>733</v>
      </c>
      <c r="L25" s="158" t="s">
        <v>708</v>
      </c>
      <c r="M25" s="198">
        <v>0</v>
      </c>
      <c r="N25" s="121" t="s">
        <v>179</v>
      </c>
    </row>
    <row r="26" spans="1:14" s="13" customFormat="1" ht="78" thickTop="1" thickBot="1" x14ac:dyDescent="0.3">
      <c r="A26" s="98">
        <v>32</v>
      </c>
      <c r="B26" s="84" t="s">
        <v>26</v>
      </c>
      <c r="C26" s="84" t="s">
        <v>60</v>
      </c>
      <c r="D26" s="102" t="s">
        <v>296</v>
      </c>
      <c r="E26" s="102" t="s">
        <v>396</v>
      </c>
      <c r="F26" s="154">
        <v>1500000</v>
      </c>
      <c r="G26" s="84" t="s">
        <v>149</v>
      </c>
      <c r="H26" s="84" t="s">
        <v>148</v>
      </c>
      <c r="I26" s="194" t="s">
        <v>574</v>
      </c>
      <c r="J26" s="213" t="s">
        <v>709</v>
      </c>
      <c r="K26" s="158" t="s">
        <v>733</v>
      </c>
      <c r="L26" s="158" t="s">
        <v>708</v>
      </c>
      <c r="M26" s="198">
        <v>0</v>
      </c>
      <c r="N26" s="121" t="s">
        <v>27</v>
      </c>
    </row>
    <row r="27" spans="1:14" s="94" customFormat="1" ht="79.5" customHeight="1" thickTop="1" thickBot="1" x14ac:dyDescent="0.3">
      <c r="A27" s="98">
        <v>34</v>
      </c>
      <c r="B27" s="84" t="s">
        <v>26</v>
      </c>
      <c r="C27" s="102" t="s">
        <v>218</v>
      </c>
      <c r="D27" s="102" t="s">
        <v>625</v>
      </c>
      <c r="E27" s="102" t="s">
        <v>225</v>
      </c>
      <c r="F27" s="154">
        <v>220000</v>
      </c>
      <c r="G27" s="121" t="s">
        <v>149</v>
      </c>
      <c r="H27" s="121" t="s">
        <v>148</v>
      </c>
      <c r="I27" s="193" t="s">
        <v>541</v>
      </c>
      <c r="J27" s="213" t="s">
        <v>670</v>
      </c>
      <c r="K27" s="158" t="s">
        <v>733</v>
      </c>
      <c r="L27" s="158" t="s">
        <v>708</v>
      </c>
      <c r="M27" s="198">
        <v>0</v>
      </c>
      <c r="N27" s="121" t="s">
        <v>179</v>
      </c>
    </row>
    <row r="28" spans="1:14" s="94" customFormat="1" ht="78" customHeight="1" thickTop="1" thickBot="1" x14ac:dyDescent="0.3">
      <c r="A28" s="98">
        <v>34</v>
      </c>
      <c r="B28" s="84" t="s">
        <v>26</v>
      </c>
      <c r="C28" s="102" t="s">
        <v>218</v>
      </c>
      <c r="D28" s="102" t="s">
        <v>626</v>
      </c>
      <c r="E28" s="102" t="s">
        <v>226</v>
      </c>
      <c r="F28" s="154">
        <v>220000</v>
      </c>
      <c r="G28" s="121" t="s">
        <v>149</v>
      </c>
      <c r="H28" s="121" t="s">
        <v>148</v>
      </c>
      <c r="I28" s="193" t="s">
        <v>541</v>
      </c>
      <c r="J28" s="213" t="s">
        <v>670</v>
      </c>
      <c r="K28" s="158" t="s">
        <v>733</v>
      </c>
      <c r="L28" s="158" t="s">
        <v>708</v>
      </c>
      <c r="M28" s="198">
        <v>0</v>
      </c>
      <c r="N28" s="121" t="s">
        <v>179</v>
      </c>
    </row>
    <row r="29" spans="1:14" s="94" customFormat="1" ht="78" thickTop="1" thickBot="1" x14ac:dyDescent="0.3">
      <c r="A29" s="98">
        <v>34</v>
      </c>
      <c r="B29" s="84" t="s">
        <v>26</v>
      </c>
      <c r="C29" s="102" t="s">
        <v>218</v>
      </c>
      <c r="D29" s="102" t="s">
        <v>627</v>
      </c>
      <c r="E29" s="102" t="s">
        <v>227</v>
      </c>
      <c r="F29" s="154">
        <v>220000</v>
      </c>
      <c r="G29" s="121" t="s">
        <v>149</v>
      </c>
      <c r="H29" s="121" t="s">
        <v>148</v>
      </c>
      <c r="I29" s="193" t="s">
        <v>541</v>
      </c>
      <c r="J29" s="213" t="s">
        <v>670</v>
      </c>
      <c r="K29" s="158" t="s">
        <v>733</v>
      </c>
      <c r="L29" s="158" t="s">
        <v>708</v>
      </c>
      <c r="M29" s="198">
        <v>0</v>
      </c>
      <c r="N29" s="121" t="s">
        <v>179</v>
      </c>
    </row>
    <row r="30" spans="1:14" ht="90.75" thickTop="1" thickBot="1" x14ac:dyDescent="0.3">
      <c r="A30" s="98">
        <v>32</v>
      </c>
      <c r="B30" s="84" t="s">
        <v>26</v>
      </c>
      <c r="C30" s="102" t="s">
        <v>189</v>
      </c>
      <c r="D30" s="102" t="s">
        <v>576</v>
      </c>
      <c r="E30" s="102" t="s">
        <v>203</v>
      </c>
      <c r="F30" s="154">
        <v>75000</v>
      </c>
      <c r="G30" s="99" t="s">
        <v>149</v>
      </c>
      <c r="H30" s="99" t="s">
        <v>157</v>
      </c>
      <c r="I30" s="195" t="s">
        <v>575</v>
      </c>
      <c r="J30" s="195" t="s">
        <v>710</v>
      </c>
      <c r="K30" s="158" t="s">
        <v>733</v>
      </c>
      <c r="L30" s="158" t="s">
        <v>708</v>
      </c>
      <c r="M30" s="198">
        <v>0</v>
      </c>
      <c r="N30" s="121" t="s">
        <v>179</v>
      </c>
    </row>
    <row r="31" spans="1:14" ht="90.75" thickTop="1" thickBot="1" x14ac:dyDescent="0.3">
      <c r="A31" s="98">
        <v>32</v>
      </c>
      <c r="B31" s="84" t="s">
        <v>26</v>
      </c>
      <c r="C31" s="102" t="s">
        <v>189</v>
      </c>
      <c r="D31" s="102" t="s">
        <v>584</v>
      </c>
      <c r="E31" s="102" t="s">
        <v>204</v>
      </c>
      <c r="F31" s="154">
        <v>75000</v>
      </c>
      <c r="G31" s="99" t="s">
        <v>149</v>
      </c>
      <c r="H31" s="99" t="s">
        <v>157</v>
      </c>
      <c r="I31" s="195" t="s">
        <v>575</v>
      </c>
      <c r="J31" s="195" t="s">
        <v>710</v>
      </c>
      <c r="K31" s="158" t="s">
        <v>733</v>
      </c>
      <c r="L31" s="158" t="s">
        <v>708</v>
      </c>
      <c r="M31" s="198">
        <v>0</v>
      </c>
      <c r="N31" s="121" t="s">
        <v>179</v>
      </c>
    </row>
    <row r="32" spans="1:14" ht="90.75" thickTop="1" thickBot="1" x14ac:dyDescent="0.3">
      <c r="A32" s="98">
        <v>32</v>
      </c>
      <c r="B32" s="84" t="s">
        <v>26</v>
      </c>
      <c r="C32" s="102" t="s">
        <v>189</v>
      </c>
      <c r="D32" s="102" t="s">
        <v>583</v>
      </c>
      <c r="E32" s="102" t="s">
        <v>205</v>
      </c>
      <c r="F32" s="154">
        <v>75000</v>
      </c>
      <c r="G32" s="99" t="s">
        <v>149</v>
      </c>
      <c r="H32" s="99" t="s">
        <v>157</v>
      </c>
      <c r="I32" s="195" t="s">
        <v>575</v>
      </c>
      <c r="J32" s="195" t="s">
        <v>710</v>
      </c>
      <c r="K32" s="158" t="s">
        <v>733</v>
      </c>
      <c r="L32" s="158" t="s">
        <v>708</v>
      </c>
      <c r="M32" s="198">
        <v>0</v>
      </c>
      <c r="N32" s="121" t="s">
        <v>179</v>
      </c>
    </row>
    <row r="33" spans="1:14" ht="90.75" thickTop="1" thickBot="1" x14ac:dyDescent="0.3">
      <c r="A33" s="98">
        <v>32</v>
      </c>
      <c r="B33" s="84" t="s">
        <v>26</v>
      </c>
      <c r="C33" s="102" t="s">
        <v>189</v>
      </c>
      <c r="D33" s="102" t="s">
        <v>580</v>
      </c>
      <c r="E33" s="102" t="s">
        <v>206</v>
      </c>
      <c r="F33" s="154">
        <v>75000</v>
      </c>
      <c r="G33" s="99" t="s">
        <v>149</v>
      </c>
      <c r="H33" s="99" t="s">
        <v>157</v>
      </c>
      <c r="I33" s="195" t="s">
        <v>575</v>
      </c>
      <c r="J33" s="195" t="s">
        <v>710</v>
      </c>
      <c r="K33" s="158" t="s">
        <v>733</v>
      </c>
      <c r="L33" s="158" t="s">
        <v>708</v>
      </c>
      <c r="M33" s="198">
        <v>0</v>
      </c>
      <c r="N33" s="121" t="s">
        <v>179</v>
      </c>
    </row>
    <row r="34" spans="1:14" ht="90.75" thickTop="1" thickBot="1" x14ac:dyDescent="0.3">
      <c r="A34" s="98">
        <v>32</v>
      </c>
      <c r="B34" s="84" t="s">
        <v>26</v>
      </c>
      <c r="C34" s="102" t="s">
        <v>189</v>
      </c>
      <c r="D34" s="102" t="s">
        <v>579</v>
      </c>
      <c r="E34" s="102" t="s">
        <v>341</v>
      </c>
      <c r="F34" s="154">
        <v>75000</v>
      </c>
      <c r="G34" s="99" t="s">
        <v>149</v>
      </c>
      <c r="H34" s="99" t="s">
        <v>157</v>
      </c>
      <c r="I34" s="195" t="s">
        <v>575</v>
      </c>
      <c r="J34" s="195" t="s">
        <v>710</v>
      </c>
      <c r="K34" s="158" t="s">
        <v>733</v>
      </c>
      <c r="L34" s="158" t="s">
        <v>708</v>
      </c>
      <c r="M34" s="198">
        <v>0</v>
      </c>
      <c r="N34" s="121" t="s">
        <v>179</v>
      </c>
    </row>
    <row r="35" spans="1:14" ht="66.75" customHeight="1" thickTop="1" thickBot="1" x14ac:dyDescent="0.3">
      <c r="A35" s="98">
        <v>28</v>
      </c>
      <c r="B35" s="84" t="s">
        <v>420</v>
      </c>
      <c r="C35" s="84" t="s">
        <v>87</v>
      </c>
      <c r="D35" s="84" t="s">
        <v>578</v>
      </c>
      <c r="E35" s="84" t="s">
        <v>397</v>
      </c>
      <c r="F35" s="87">
        <v>20000</v>
      </c>
      <c r="G35" s="99" t="s">
        <v>577</v>
      </c>
      <c r="H35" s="99" t="s">
        <v>494</v>
      </c>
      <c r="I35" s="84" t="s">
        <v>90</v>
      </c>
      <c r="J35" s="213" t="s">
        <v>871</v>
      </c>
      <c r="K35" s="158" t="s">
        <v>1</v>
      </c>
      <c r="L35" s="158" t="s">
        <v>1</v>
      </c>
      <c r="M35" s="158" t="s">
        <v>705</v>
      </c>
      <c r="N35" s="121" t="s">
        <v>27</v>
      </c>
    </row>
    <row r="36" spans="1:14" ht="91.5" customHeight="1" thickTop="1" thickBot="1" x14ac:dyDescent="0.3">
      <c r="A36" s="98">
        <v>28</v>
      </c>
      <c r="B36" s="84" t="s">
        <v>420</v>
      </c>
      <c r="C36" s="84" t="s">
        <v>87</v>
      </c>
      <c r="D36" s="84" t="s">
        <v>582</v>
      </c>
      <c r="E36" s="84" t="s">
        <v>398</v>
      </c>
      <c r="F36" s="87">
        <v>300000</v>
      </c>
      <c r="G36" s="99" t="s">
        <v>149</v>
      </c>
      <c r="H36" s="99" t="s">
        <v>157</v>
      </c>
      <c r="I36" s="194" t="s">
        <v>581</v>
      </c>
      <c r="J36" s="213" t="s">
        <v>851</v>
      </c>
      <c r="K36" s="158" t="s">
        <v>706</v>
      </c>
      <c r="L36" s="158" t="s">
        <v>707</v>
      </c>
      <c r="M36" s="185">
        <v>0</v>
      </c>
      <c r="N36" s="121" t="s">
        <v>27</v>
      </c>
    </row>
    <row r="37" spans="1:14" ht="65.25" thickTop="1" thickBot="1" x14ac:dyDescent="0.3">
      <c r="A37" s="98">
        <v>28</v>
      </c>
      <c r="B37" s="84" t="s">
        <v>420</v>
      </c>
      <c r="C37" s="84" t="s">
        <v>87</v>
      </c>
      <c r="D37" s="84" t="s">
        <v>628</v>
      </c>
      <c r="E37" s="84" t="s">
        <v>177</v>
      </c>
      <c r="F37" s="100">
        <v>350000</v>
      </c>
      <c r="G37" s="84" t="s">
        <v>149</v>
      </c>
      <c r="H37" s="84" t="s">
        <v>533</v>
      </c>
      <c r="I37" s="194" t="s">
        <v>872</v>
      </c>
      <c r="J37" s="213" t="s">
        <v>852</v>
      </c>
      <c r="K37" s="158" t="s">
        <v>733</v>
      </c>
      <c r="L37" s="158" t="s">
        <v>708</v>
      </c>
      <c r="M37" s="185">
        <v>0</v>
      </c>
      <c r="N37" s="121" t="s">
        <v>27</v>
      </c>
    </row>
    <row r="38" spans="1:14" ht="15.75" thickTop="1" x14ac:dyDescent="0.25"/>
  </sheetData>
  <mergeCells count="12">
    <mergeCell ref="N2:N3"/>
    <mergeCell ref="A1:N1"/>
    <mergeCell ref="C2:C3"/>
    <mergeCell ref="G2:G3"/>
    <mergeCell ref="H2:H3"/>
    <mergeCell ref="I2:I3"/>
    <mergeCell ref="A2:A3"/>
    <mergeCell ref="B2:B3"/>
    <mergeCell ref="D2:D3"/>
    <mergeCell ref="E2:E3"/>
    <mergeCell ref="F2:F3"/>
    <mergeCell ref="J2:J3"/>
  </mergeCells>
  <pageMargins left="0.70866141732283505" right="0.70866141732283505" top="0.74803149606299202" bottom="0.74803149606299202" header="0.31496062992126" footer="0.31496062992126"/>
  <pageSetup paperSize="9" scale="65" fitToHeight="2"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4"/>
  <sheetViews>
    <sheetView view="pageBreakPreview" topLeftCell="A9" zoomScale="90" zoomScaleSheetLayoutView="90" workbookViewId="0">
      <selection activeCell="D17" sqref="D17"/>
    </sheetView>
  </sheetViews>
  <sheetFormatPr defaultRowHeight="15" x14ac:dyDescent="0.25"/>
  <cols>
    <col min="1" max="1" width="6.7109375" style="9" customWidth="1"/>
    <col min="2" max="2" width="12.28515625" customWidth="1"/>
    <col min="3" max="3" width="12" customWidth="1"/>
    <col min="4" max="4" width="17.5703125" customWidth="1"/>
    <col min="5" max="5" width="16.7109375" customWidth="1"/>
    <col min="6" max="6" width="18" style="9" customWidth="1"/>
    <col min="7" max="7" width="11.42578125" style="52" customWidth="1"/>
    <col min="8" max="8" width="10" customWidth="1"/>
    <col min="9" max="9" width="14.85546875" style="41" customWidth="1"/>
    <col min="10" max="10" width="11.28515625" style="477" customWidth="1"/>
    <col min="11" max="11" width="13.7109375" style="477" customWidth="1"/>
    <col min="12" max="12" width="12" style="23" customWidth="1"/>
    <col min="13" max="13" width="12.7109375" customWidth="1"/>
  </cols>
  <sheetData>
    <row r="1" spans="1:13" ht="57" customHeight="1" thickTop="1" thickBot="1" x14ac:dyDescent="0.3">
      <c r="A1" s="578" t="s">
        <v>56</v>
      </c>
      <c r="B1" s="578"/>
      <c r="C1" s="578"/>
      <c r="D1" s="578"/>
      <c r="E1" s="578"/>
      <c r="F1" s="578"/>
      <c r="G1" s="578"/>
      <c r="H1" s="578"/>
      <c r="I1" s="578"/>
      <c r="J1" s="578"/>
      <c r="K1" s="578"/>
      <c r="L1" s="578"/>
      <c r="M1" s="578"/>
    </row>
    <row r="2" spans="1:13" s="12" customFormat="1" ht="41.25" customHeight="1" thickTop="1" thickBot="1" x14ac:dyDescent="0.3">
      <c r="A2" s="19" t="s">
        <v>2</v>
      </c>
      <c r="B2" s="22" t="s">
        <v>0</v>
      </c>
      <c r="C2" s="22" t="s">
        <v>68</v>
      </c>
      <c r="D2" s="22" t="s">
        <v>8</v>
      </c>
      <c r="E2" s="22" t="s">
        <v>21</v>
      </c>
      <c r="F2" s="19" t="s">
        <v>9</v>
      </c>
      <c r="G2" s="73" t="s">
        <v>116</v>
      </c>
      <c r="H2" s="22" t="s">
        <v>857</v>
      </c>
      <c r="I2" s="188" t="s">
        <v>858</v>
      </c>
      <c r="J2" s="188" t="s">
        <v>633</v>
      </c>
      <c r="K2" s="188" t="s">
        <v>634</v>
      </c>
      <c r="L2" s="22" t="s">
        <v>635</v>
      </c>
      <c r="M2" s="22" t="s">
        <v>10</v>
      </c>
    </row>
    <row r="3" spans="1:13" ht="73.5" thickTop="1" thickBot="1" x14ac:dyDescent="0.3">
      <c r="A3" s="137">
        <v>54</v>
      </c>
      <c r="B3" s="130" t="s">
        <v>25</v>
      </c>
      <c r="C3" s="130" t="s">
        <v>71</v>
      </c>
      <c r="D3" s="130" t="s">
        <v>467</v>
      </c>
      <c r="E3" s="138" t="s">
        <v>468</v>
      </c>
      <c r="F3" s="137">
        <v>29</v>
      </c>
      <c r="G3" s="139" t="s">
        <v>13</v>
      </c>
      <c r="H3" s="130">
        <v>29</v>
      </c>
      <c r="I3" s="187" t="s">
        <v>696</v>
      </c>
      <c r="J3" s="187" t="s">
        <v>1</v>
      </c>
      <c r="K3" s="187" t="s">
        <v>1</v>
      </c>
      <c r="L3" s="139" t="s">
        <v>13</v>
      </c>
      <c r="M3" s="130" t="s">
        <v>32</v>
      </c>
    </row>
    <row r="4" spans="1:13" ht="77.25" customHeight="1" thickTop="1" thickBot="1" x14ac:dyDescent="0.3">
      <c r="A4" s="137">
        <v>54</v>
      </c>
      <c r="B4" s="130" t="s">
        <v>25</v>
      </c>
      <c r="C4" s="130" t="s">
        <v>71</v>
      </c>
      <c r="D4" s="130" t="s">
        <v>469</v>
      </c>
      <c r="E4" s="130" t="s">
        <v>470</v>
      </c>
      <c r="F4" s="140">
        <v>1</v>
      </c>
      <c r="G4" s="139" t="s">
        <v>13</v>
      </c>
      <c r="H4" s="140">
        <v>1</v>
      </c>
      <c r="I4" s="186" t="s">
        <v>697</v>
      </c>
      <c r="J4" s="186" t="s">
        <v>1</v>
      </c>
      <c r="K4" s="186" t="s">
        <v>1</v>
      </c>
      <c r="L4" s="139" t="s">
        <v>13</v>
      </c>
      <c r="M4" s="130" t="s">
        <v>6</v>
      </c>
    </row>
    <row r="5" spans="1:13" ht="63" customHeight="1" thickTop="1" thickBot="1" x14ac:dyDescent="0.3">
      <c r="A5" s="137">
        <v>54</v>
      </c>
      <c r="B5" s="130" t="s">
        <v>25</v>
      </c>
      <c r="C5" s="130" t="s">
        <v>70</v>
      </c>
      <c r="D5" s="130" t="s">
        <v>471</v>
      </c>
      <c r="E5" s="130" t="s">
        <v>472</v>
      </c>
      <c r="F5" s="137">
        <v>4</v>
      </c>
      <c r="G5" s="139">
        <v>1000000</v>
      </c>
      <c r="H5" s="137">
        <v>2</v>
      </c>
      <c r="I5" s="187" t="s">
        <v>822</v>
      </c>
      <c r="J5" s="186" t="s">
        <v>1</v>
      </c>
      <c r="K5" s="186" t="s">
        <v>1</v>
      </c>
      <c r="L5" s="226">
        <v>450629</v>
      </c>
      <c r="M5" s="130" t="s">
        <v>6</v>
      </c>
    </row>
    <row r="6" spans="1:13" ht="72.75" customHeight="1" thickTop="1" thickBot="1" x14ac:dyDescent="0.3">
      <c r="A6" s="137">
        <v>54</v>
      </c>
      <c r="B6" s="130" t="s">
        <v>25</v>
      </c>
      <c r="C6" s="130" t="s">
        <v>70</v>
      </c>
      <c r="D6" s="130" t="s">
        <v>473</v>
      </c>
      <c r="E6" s="130" t="s">
        <v>474</v>
      </c>
      <c r="F6" s="140">
        <v>1</v>
      </c>
      <c r="G6" s="139" t="s">
        <v>11</v>
      </c>
      <c r="H6" s="140">
        <v>1</v>
      </c>
      <c r="I6" s="186" t="s">
        <v>698</v>
      </c>
      <c r="J6" s="186" t="s">
        <v>1</v>
      </c>
      <c r="K6" s="186" t="s">
        <v>1</v>
      </c>
      <c r="L6" s="140" t="s">
        <v>13</v>
      </c>
      <c r="M6" s="130" t="s">
        <v>6</v>
      </c>
    </row>
    <row r="7" spans="1:13" ht="84.75" customHeight="1" thickTop="1" thickBot="1" x14ac:dyDescent="0.3">
      <c r="A7" s="137">
        <v>54</v>
      </c>
      <c r="B7" s="130" t="s">
        <v>25</v>
      </c>
      <c r="C7" s="130" t="s">
        <v>69</v>
      </c>
      <c r="D7" s="130" t="s">
        <v>475</v>
      </c>
      <c r="E7" s="130" t="s">
        <v>476</v>
      </c>
      <c r="F7" s="137">
        <v>10</v>
      </c>
      <c r="G7" s="139" t="s">
        <v>13</v>
      </c>
      <c r="H7" s="130">
        <v>10</v>
      </c>
      <c r="I7" s="187" t="s">
        <v>699</v>
      </c>
      <c r="J7" s="186" t="s">
        <v>1</v>
      </c>
      <c r="K7" s="186" t="s">
        <v>1</v>
      </c>
      <c r="L7" s="140" t="s">
        <v>13</v>
      </c>
      <c r="M7" s="130" t="s">
        <v>6</v>
      </c>
    </row>
    <row r="8" spans="1:13" ht="75.75" customHeight="1" thickTop="1" thickBot="1" x14ac:dyDescent="0.3">
      <c r="A8" s="137">
        <v>54</v>
      </c>
      <c r="B8" s="130" t="s">
        <v>25</v>
      </c>
      <c r="C8" s="130" t="s">
        <v>155</v>
      </c>
      <c r="D8" s="130" t="s">
        <v>478</v>
      </c>
      <c r="E8" s="130" t="s">
        <v>477</v>
      </c>
      <c r="F8" s="141">
        <v>3</v>
      </c>
      <c r="G8" s="141" t="s">
        <v>11</v>
      </c>
      <c r="H8" s="141">
        <v>6</v>
      </c>
      <c r="I8" s="189" t="s">
        <v>854</v>
      </c>
      <c r="J8" s="186" t="s">
        <v>1</v>
      </c>
      <c r="K8" s="186" t="s">
        <v>1</v>
      </c>
      <c r="L8" s="140" t="s">
        <v>13</v>
      </c>
      <c r="M8" s="130" t="s">
        <v>155</v>
      </c>
    </row>
    <row r="9" spans="1:13" s="23" customFormat="1" ht="63.75" customHeight="1" thickTop="1" thickBot="1" x14ac:dyDescent="0.3">
      <c r="A9" s="137">
        <v>54</v>
      </c>
      <c r="B9" s="130" t="s">
        <v>25</v>
      </c>
      <c r="C9" s="130" t="s">
        <v>72</v>
      </c>
      <c r="D9" s="130" t="s">
        <v>479</v>
      </c>
      <c r="E9" s="130" t="s">
        <v>480</v>
      </c>
      <c r="F9" s="141">
        <v>1</v>
      </c>
      <c r="G9" s="141" t="s">
        <v>11</v>
      </c>
      <c r="H9" s="141">
        <v>2</v>
      </c>
      <c r="I9" s="227" t="s">
        <v>823</v>
      </c>
      <c r="J9" s="186" t="s">
        <v>1</v>
      </c>
      <c r="K9" s="186" t="s">
        <v>1</v>
      </c>
      <c r="L9" s="140" t="s">
        <v>13</v>
      </c>
      <c r="M9" s="130" t="s">
        <v>107</v>
      </c>
    </row>
    <row r="10" spans="1:13" ht="59.25" customHeight="1" thickTop="1" thickBot="1" x14ac:dyDescent="0.3">
      <c r="A10" s="137">
        <v>54</v>
      </c>
      <c r="B10" s="130" t="s">
        <v>25</v>
      </c>
      <c r="C10" s="130" t="s">
        <v>72</v>
      </c>
      <c r="D10" s="130" t="s">
        <v>479</v>
      </c>
      <c r="E10" s="130" t="s">
        <v>481</v>
      </c>
      <c r="F10" s="137">
        <v>4</v>
      </c>
      <c r="G10" s="139" t="s">
        <v>11</v>
      </c>
      <c r="H10" s="130">
        <v>2</v>
      </c>
      <c r="I10" s="228" t="s">
        <v>824</v>
      </c>
      <c r="J10" s="187" t="s">
        <v>825</v>
      </c>
      <c r="K10" s="187" t="s">
        <v>826</v>
      </c>
      <c r="L10" s="140" t="s">
        <v>13</v>
      </c>
      <c r="M10" s="130" t="s">
        <v>107</v>
      </c>
    </row>
    <row r="11" spans="1:13" ht="108" customHeight="1" thickTop="1" thickBot="1" x14ac:dyDescent="0.3">
      <c r="A11" s="137">
        <v>54</v>
      </c>
      <c r="B11" s="130" t="s">
        <v>25</v>
      </c>
      <c r="C11" s="130" t="s">
        <v>108</v>
      </c>
      <c r="D11" s="130" t="s">
        <v>482</v>
      </c>
      <c r="E11" s="130" t="s">
        <v>65</v>
      </c>
      <c r="F11" s="140">
        <v>1</v>
      </c>
      <c r="G11" s="140" t="s">
        <v>11</v>
      </c>
      <c r="H11" s="140">
        <v>1</v>
      </c>
      <c r="I11" s="199" t="s">
        <v>1412</v>
      </c>
      <c r="J11" s="186" t="s">
        <v>1</v>
      </c>
      <c r="K11" s="186" t="s">
        <v>1</v>
      </c>
      <c r="L11" s="140" t="s">
        <v>13</v>
      </c>
      <c r="M11" s="130" t="s">
        <v>66</v>
      </c>
    </row>
    <row r="12" spans="1:13" ht="66.75" customHeight="1" thickTop="1" thickBot="1" x14ac:dyDescent="0.3">
      <c r="A12" s="137">
        <v>46</v>
      </c>
      <c r="B12" s="130" t="s">
        <v>18</v>
      </c>
      <c r="C12" s="130" t="s">
        <v>80</v>
      </c>
      <c r="D12" s="130" t="s">
        <v>483</v>
      </c>
      <c r="E12" s="130" t="s">
        <v>19</v>
      </c>
      <c r="F12" s="140">
        <v>1</v>
      </c>
      <c r="G12" s="139" t="s">
        <v>13</v>
      </c>
      <c r="H12" s="142">
        <v>0.5</v>
      </c>
      <c r="I12" s="186" t="s">
        <v>853</v>
      </c>
      <c r="J12" s="186" t="s">
        <v>1</v>
      </c>
      <c r="K12" s="186" t="s">
        <v>1</v>
      </c>
      <c r="L12" s="140" t="s">
        <v>13</v>
      </c>
      <c r="M12" s="130" t="s">
        <v>17</v>
      </c>
    </row>
    <row r="13" spans="1:13" ht="62.25" customHeight="1" thickTop="1" thickBot="1" x14ac:dyDescent="0.3">
      <c r="A13" s="143">
        <v>46</v>
      </c>
      <c r="B13" s="131" t="s">
        <v>18</v>
      </c>
      <c r="C13" s="144" t="s">
        <v>75</v>
      </c>
      <c r="D13" s="131" t="s">
        <v>20</v>
      </c>
      <c r="E13" s="131" t="s">
        <v>484</v>
      </c>
      <c r="F13" s="143">
        <v>4</v>
      </c>
      <c r="G13" s="145" t="s">
        <v>13</v>
      </c>
      <c r="H13" s="131">
        <v>2</v>
      </c>
      <c r="I13" s="190" t="s">
        <v>1413</v>
      </c>
      <c r="J13" s="190" t="s">
        <v>1</v>
      </c>
      <c r="K13" s="190" t="s">
        <v>1</v>
      </c>
      <c r="L13" s="140" t="s">
        <v>13</v>
      </c>
      <c r="M13" s="131" t="s">
        <v>17</v>
      </c>
    </row>
    <row r="14" spans="1:13" ht="15.75" thickTop="1" x14ac:dyDescent="0.25"/>
  </sheetData>
  <mergeCells count="1">
    <mergeCell ref="A1:M1"/>
  </mergeCells>
  <pageMargins left="0.70866141732283505" right="0.70866141732283505" top="0.74803149606299202" bottom="0.74803149606299202" header="0.31496062992126" footer="0.31496062992126"/>
  <pageSetup paperSize="9" scale="75" fitToHeight="0" orientation="landscape"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45"/>
  <sheetViews>
    <sheetView view="pageBreakPreview" zoomScale="90" zoomScaleNormal="100" zoomScaleSheetLayoutView="90" workbookViewId="0">
      <selection activeCell="F17" sqref="F17"/>
    </sheetView>
  </sheetViews>
  <sheetFormatPr defaultColWidth="23.5703125" defaultRowHeight="26.25" customHeight="1" x14ac:dyDescent="0.25"/>
  <cols>
    <col min="1" max="1" width="3.7109375" style="510" customWidth="1"/>
    <col min="2" max="2" width="28" style="510" customWidth="1"/>
    <col min="3" max="3" width="17.42578125" style="511" customWidth="1"/>
    <col min="4" max="4" width="15.140625" style="511" customWidth="1"/>
    <col min="5" max="5" width="18.7109375" style="511" customWidth="1"/>
    <col min="6" max="6" width="26" style="500" customWidth="1"/>
    <col min="7" max="16384" width="23.5703125" style="500"/>
  </cols>
  <sheetData>
    <row r="1" spans="1:6" ht="26.25" customHeight="1" thickBot="1" x14ac:dyDescent="0.3">
      <c r="A1" s="579" t="s">
        <v>1388</v>
      </c>
      <c r="B1" s="579"/>
      <c r="C1" s="579"/>
      <c r="D1" s="579"/>
      <c r="E1" s="579"/>
      <c r="F1" s="580"/>
    </row>
    <row r="2" spans="1:6" s="505" customFormat="1" ht="40.5" customHeight="1" thickTop="1" thickBot="1" x14ac:dyDescent="0.3">
      <c r="A2" s="501" t="s">
        <v>874</v>
      </c>
      <c r="B2" s="501" t="s">
        <v>3</v>
      </c>
      <c r="C2" s="502" t="s">
        <v>875</v>
      </c>
      <c r="D2" s="503" t="s">
        <v>635</v>
      </c>
      <c r="E2" s="502" t="s">
        <v>876</v>
      </c>
      <c r="F2" s="504" t="s">
        <v>877</v>
      </c>
    </row>
    <row r="3" spans="1:6" s="508" customFormat="1" ht="26.25" customHeight="1" thickTop="1" thickBot="1" x14ac:dyDescent="0.3">
      <c r="A3" s="506">
        <v>1</v>
      </c>
      <c r="B3" s="506" t="s">
        <v>878</v>
      </c>
      <c r="C3" s="507">
        <v>300000</v>
      </c>
      <c r="D3" s="507">
        <v>0</v>
      </c>
      <c r="E3" s="507">
        <f t="shared" ref="E3:E28" si="0">C3-D3</f>
        <v>300000</v>
      </c>
      <c r="F3" s="506" t="s">
        <v>724</v>
      </c>
    </row>
    <row r="4" spans="1:6" ht="26.25" customHeight="1" thickTop="1" thickBot="1" x14ac:dyDescent="0.3">
      <c r="A4" s="509">
        <v>2</v>
      </c>
      <c r="B4" s="509" t="s">
        <v>879</v>
      </c>
      <c r="C4" s="507">
        <f>1408534+1439440</f>
        <v>2847974</v>
      </c>
      <c r="D4" s="507">
        <v>0</v>
      </c>
      <c r="E4" s="507">
        <f t="shared" si="0"/>
        <v>2847974</v>
      </c>
      <c r="F4" s="509" t="s">
        <v>880</v>
      </c>
    </row>
    <row r="5" spans="1:6" ht="26.25" customHeight="1" thickTop="1" thickBot="1" x14ac:dyDescent="0.3">
      <c r="A5" s="509">
        <v>3</v>
      </c>
      <c r="B5" s="509" t="s">
        <v>881</v>
      </c>
      <c r="C5" s="507">
        <f>4450890.4</f>
        <v>4450890.4000000004</v>
      </c>
      <c r="D5" s="507">
        <v>0</v>
      </c>
      <c r="E5" s="507">
        <f t="shared" si="0"/>
        <v>4450890.4000000004</v>
      </c>
      <c r="F5" s="509" t="s">
        <v>882</v>
      </c>
    </row>
    <row r="6" spans="1:6" ht="26.25" customHeight="1" thickTop="1" thickBot="1" x14ac:dyDescent="0.3">
      <c r="A6" s="509">
        <v>4</v>
      </c>
      <c r="B6" s="509" t="s">
        <v>883</v>
      </c>
      <c r="C6" s="507">
        <f>4190924.84</f>
        <v>4190924.84</v>
      </c>
      <c r="D6" s="507">
        <v>0</v>
      </c>
      <c r="E6" s="507">
        <f t="shared" si="0"/>
        <v>4190924.84</v>
      </c>
      <c r="F6" s="509" t="s">
        <v>884</v>
      </c>
    </row>
    <row r="7" spans="1:6" ht="26.25" customHeight="1" thickTop="1" thickBot="1" x14ac:dyDescent="0.3">
      <c r="A7" s="509">
        <v>5</v>
      </c>
      <c r="B7" s="509" t="s">
        <v>885</v>
      </c>
      <c r="C7" s="507">
        <v>4578947.3600000003</v>
      </c>
      <c r="D7" s="507">
        <v>0</v>
      </c>
      <c r="E7" s="507">
        <f t="shared" si="0"/>
        <v>4578947.3600000003</v>
      </c>
      <c r="F7" s="509" t="s">
        <v>704</v>
      </c>
    </row>
    <row r="8" spans="1:6" ht="26.25" customHeight="1" thickTop="1" thickBot="1" x14ac:dyDescent="0.3">
      <c r="A8" s="509">
        <v>6</v>
      </c>
      <c r="B8" s="509" t="s">
        <v>886</v>
      </c>
      <c r="C8" s="507">
        <f>263675</f>
        <v>263675</v>
      </c>
      <c r="D8" s="507">
        <v>0</v>
      </c>
      <c r="E8" s="507">
        <f t="shared" si="0"/>
        <v>263675</v>
      </c>
      <c r="F8" s="509" t="s">
        <v>887</v>
      </c>
    </row>
    <row r="9" spans="1:6" ht="26.25" customHeight="1" thickTop="1" thickBot="1" x14ac:dyDescent="0.3">
      <c r="A9" s="509">
        <v>7</v>
      </c>
      <c r="B9" s="509" t="s">
        <v>888</v>
      </c>
      <c r="C9" s="507">
        <v>223222.22</v>
      </c>
      <c r="D9" s="507">
        <v>0</v>
      </c>
      <c r="E9" s="507">
        <f t="shared" si="0"/>
        <v>223222.22</v>
      </c>
      <c r="F9" s="509" t="s">
        <v>889</v>
      </c>
    </row>
    <row r="10" spans="1:6" ht="26.25" customHeight="1" thickTop="1" thickBot="1" x14ac:dyDescent="0.3">
      <c r="A10" s="509">
        <v>8</v>
      </c>
      <c r="B10" s="509" t="s">
        <v>890</v>
      </c>
      <c r="C10" s="507">
        <v>239981.44</v>
      </c>
      <c r="D10" s="507">
        <v>0</v>
      </c>
      <c r="E10" s="507">
        <f t="shared" si="0"/>
        <v>239981.44</v>
      </c>
      <c r="F10" s="509" t="s">
        <v>887</v>
      </c>
    </row>
    <row r="11" spans="1:6" ht="26.25" customHeight="1" thickTop="1" thickBot="1" x14ac:dyDescent="0.3">
      <c r="A11" s="509">
        <v>9</v>
      </c>
      <c r="B11" s="509" t="s">
        <v>891</v>
      </c>
      <c r="C11" s="507">
        <v>223222.22</v>
      </c>
      <c r="D11" s="507">
        <v>0</v>
      </c>
      <c r="E11" s="507">
        <f t="shared" si="0"/>
        <v>223222.22</v>
      </c>
      <c r="F11" s="509" t="s">
        <v>887</v>
      </c>
    </row>
    <row r="12" spans="1:6" ht="26.25" customHeight="1" thickTop="1" thickBot="1" x14ac:dyDescent="0.3">
      <c r="A12" s="509">
        <v>10</v>
      </c>
      <c r="B12" s="509" t="s">
        <v>892</v>
      </c>
      <c r="C12" s="507">
        <f>5300000</f>
        <v>5300000</v>
      </c>
      <c r="D12" s="507">
        <v>615553.9</v>
      </c>
      <c r="E12" s="507">
        <f t="shared" si="0"/>
        <v>4684446.0999999996</v>
      </c>
      <c r="F12" s="509" t="s">
        <v>893</v>
      </c>
    </row>
    <row r="13" spans="1:6" ht="26.25" customHeight="1" thickTop="1" thickBot="1" x14ac:dyDescent="0.3">
      <c r="A13" s="509">
        <v>11</v>
      </c>
      <c r="B13" s="509" t="s">
        <v>894</v>
      </c>
      <c r="C13" s="507">
        <f>4733836</f>
        <v>4733836</v>
      </c>
      <c r="D13" s="507">
        <v>852050</v>
      </c>
      <c r="E13" s="507">
        <f t="shared" si="0"/>
        <v>3881786</v>
      </c>
      <c r="F13" s="509" t="s">
        <v>895</v>
      </c>
    </row>
    <row r="14" spans="1:6" s="508" customFormat="1" ht="26.25" customHeight="1" thickTop="1" thickBot="1" x14ac:dyDescent="0.3">
      <c r="A14" s="506">
        <v>12</v>
      </c>
      <c r="B14" s="506" t="s">
        <v>896</v>
      </c>
      <c r="C14" s="507">
        <v>2080000</v>
      </c>
      <c r="D14" s="507">
        <v>0</v>
      </c>
      <c r="E14" s="507">
        <f t="shared" si="0"/>
        <v>2080000</v>
      </c>
      <c r="F14" s="506" t="s">
        <v>1414</v>
      </c>
    </row>
    <row r="15" spans="1:6" s="508" customFormat="1" ht="26.25" customHeight="1" thickTop="1" thickBot="1" x14ac:dyDescent="0.3">
      <c r="A15" s="506">
        <v>13</v>
      </c>
      <c r="B15" s="506" t="s">
        <v>897</v>
      </c>
      <c r="C15" s="507">
        <f>2916000</f>
        <v>2916000</v>
      </c>
      <c r="D15" s="507">
        <v>2055166</v>
      </c>
      <c r="E15" s="507">
        <f t="shared" si="0"/>
        <v>860834</v>
      </c>
      <c r="F15" s="506" t="s">
        <v>898</v>
      </c>
    </row>
    <row r="16" spans="1:6" s="508" customFormat="1" ht="26.25" customHeight="1" thickTop="1" thickBot="1" x14ac:dyDescent="0.3">
      <c r="A16" s="506">
        <v>14</v>
      </c>
      <c r="B16" s="506" t="s">
        <v>899</v>
      </c>
      <c r="C16" s="507">
        <f>3337200</f>
        <v>3337200</v>
      </c>
      <c r="D16" s="507">
        <v>0</v>
      </c>
      <c r="E16" s="507">
        <f t="shared" si="0"/>
        <v>3337200</v>
      </c>
      <c r="F16" s="506" t="s">
        <v>900</v>
      </c>
    </row>
    <row r="17" spans="1:6" s="508" customFormat="1" ht="26.25" customHeight="1" thickTop="1" thickBot="1" x14ac:dyDescent="0.3">
      <c r="A17" s="506">
        <v>15</v>
      </c>
      <c r="B17" s="506" t="s">
        <v>901</v>
      </c>
      <c r="C17" s="507">
        <f>5953631.68</f>
        <v>5953631.6799999997</v>
      </c>
      <c r="D17" s="507">
        <v>430087.8</v>
      </c>
      <c r="E17" s="507">
        <f t="shared" si="0"/>
        <v>5523543.8799999999</v>
      </c>
      <c r="F17" s="506" t="s">
        <v>902</v>
      </c>
    </row>
    <row r="18" spans="1:6" ht="26.25" customHeight="1" thickTop="1" thickBot="1" x14ac:dyDescent="0.3">
      <c r="A18" s="509">
        <v>16</v>
      </c>
      <c r="B18" s="506" t="s">
        <v>903</v>
      </c>
      <c r="C18" s="507">
        <f>7623720</f>
        <v>7623720</v>
      </c>
      <c r="D18" s="507">
        <v>2159446</v>
      </c>
      <c r="E18" s="507">
        <f t="shared" si="0"/>
        <v>5464274</v>
      </c>
      <c r="F18" s="506" t="s">
        <v>904</v>
      </c>
    </row>
    <row r="19" spans="1:6" ht="26.25" customHeight="1" thickTop="1" thickBot="1" x14ac:dyDescent="0.3">
      <c r="A19" s="509">
        <v>17</v>
      </c>
      <c r="B19" s="509" t="s">
        <v>905</v>
      </c>
      <c r="C19" s="507">
        <v>5126336.25</v>
      </c>
      <c r="D19" s="507">
        <v>3496580</v>
      </c>
      <c r="E19" s="507">
        <f t="shared" si="0"/>
        <v>1629756.25</v>
      </c>
      <c r="F19" s="509" t="s">
        <v>906</v>
      </c>
    </row>
    <row r="20" spans="1:6" ht="26.25" customHeight="1" thickTop="1" thickBot="1" x14ac:dyDescent="0.3">
      <c r="A20" s="509">
        <v>18</v>
      </c>
      <c r="B20" s="509" t="s">
        <v>907</v>
      </c>
      <c r="C20" s="507">
        <v>159819.14000000001</v>
      </c>
      <c r="D20" s="507">
        <v>0</v>
      </c>
      <c r="E20" s="507">
        <f t="shared" si="0"/>
        <v>159819.14000000001</v>
      </c>
      <c r="F20" s="509" t="s">
        <v>880</v>
      </c>
    </row>
    <row r="21" spans="1:6" ht="26.25" customHeight="1" thickTop="1" thickBot="1" x14ac:dyDescent="0.3">
      <c r="A21" s="509">
        <v>19</v>
      </c>
      <c r="B21" s="509" t="s">
        <v>908</v>
      </c>
      <c r="C21" s="507">
        <v>840730</v>
      </c>
      <c r="D21" s="507">
        <v>0</v>
      </c>
      <c r="E21" s="507">
        <f t="shared" si="0"/>
        <v>840730</v>
      </c>
      <c r="F21" s="509" t="s">
        <v>909</v>
      </c>
    </row>
    <row r="22" spans="1:6" ht="26.25" customHeight="1" thickTop="1" thickBot="1" x14ac:dyDescent="0.3">
      <c r="A22" s="509">
        <v>20</v>
      </c>
      <c r="B22" s="509" t="s">
        <v>910</v>
      </c>
      <c r="C22" s="507">
        <v>4320000</v>
      </c>
      <c r="D22" s="507">
        <v>0</v>
      </c>
      <c r="E22" s="507">
        <f t="shared" si="0"/>
        <v>4320000</v>
      </c>
      <c r="F22" s="509" t="s">
        <v>911</v>
      </c>
    </row>
    <row r="23" spans="1:6" s="508" customFormat="1" ht="26.25" customHeight="1" thickTop="1" thickBot="1" x14ac:dyDescent="0.3">
      <c r="A23" s="506">
        <v>21</v>
      </c>
      <c r="B23" s="506" t="s">
        <v>912</v>
      </c>
      <c r="C23" s="507">
        <v>2000000</v>
      </c>
      <c r="D23" s="507">
        <v>0</v>
      </c>
      <c r="E23" s="507">
        <f t="shared" si="0"/>
        <v>2000000</v>
      </c>
      <c r="F23" s="506" t="s">
        <v>913</v>
      </c>
    </row>
    <row r="24" spans="1:6" ht="26.25" customHeight="1" thickTop="1" thickBot="1" x14ac:dyDescent="0.3">
      <c r="A24" s="509">
        <v>22</v>
      </c>
      <c r="B24" s="509" t="s">
        <v>914</v>
      </c>
      <c r="C24" s="507">
        <v>1000000</v>
      </c>
      <c r="D24" s="507">
        <f>25695+170721.27</f>
        <v>196416.27</v>
      </c>
      <c r="E24" s="507">
        <f t="shared" si="0"/>
        <v>803583.73</v>
      </c>
      <c r="F24" s="509" t="s">
        <v>898</v>
      </c>
    </row>
    <row r="25" spans="1:6" ht="26.25" customHeight="1" thickTop="1" thickBot="1" x14ac:dyDescent="0.3">
      <c r="A25" s="509">
        <v>23</v>
      </c>
      <c r="B25" s="506" t="s">
        <v>915</v>
      </c>
      <c r="C25" s="507">
        <v>650000</v>
      </c>
      <c r="D25" s="507">
        <v>0</v>
      </c>
      <c r="E25" s="507">
        <f t="shared" si="0"/>
        <v>650000</v>
      </c>
      <c r="F25" s="506" t="s">
        <v>916</v>
      </c>
    </row>
    <row r="26" spans="1:6" ht="26.25" customHeight="1" thickTop="1" thickBot="1" x14ac:dyDescent="0.3">
      <c r="A26" s="509">
        <v>24</v>
      </c>
      <c r="B26" s="509" t="s">
        <v>917</v>
      </c>
      <c r="C26" s="507">
        <v>610014</v>
      </c>
      <c r="D26" s="507">
        <v>0</v>
      </c>
      <c r="E26" s="507">
        <f t="shared" si="0"/>
        <v>610014</v>
      </c>
      <c r="F26" s="509" t="s">
        <v>704</v>
      </c>
    </row>
    <row r="27" spans="1:6" ht="26.25" customHeight="1" thickTop="1" thickBot="1" x14ac:dyDescent="0.3">
      <c r="A27" s="509">
        <v>25</v>
      </c>
      <c r="B27" s="509" t="s">
        <v>918</v>
      </c>
      <c r="C27" s="507">
        <v>2600000</v>
      </c>
      <c r="D27" s="507">
        <v>0</v>
      </c>
      <c r="E27" s="507">
        <f t="shared" si="0"/>
        <v>2600000</v>
      </c>
      <c r="F27" s="509" t="s">
        <v>704</v>
      </c>
    </row>
    <row r="28" spans="1:6" ht="26.25" customHeight="1" thickTop="1" thickBot="1" x14ac:dyDescent="0.3">
      <c r="A28" s="509">
        <v>26</v>
      </c>
      <c r="B28" s="506" t="s">
        <v>919</v>
      </c>
      <c r="C28" s="507">
        <v>566834</v>
      </c>
      <c r="D28" s="507">
        <v>0</v>
      </c>
      <c r="E28" s="507">
        <f t="shared" si="0"/>
        <v>566834</v>
      </c>
      <c r="F28" s="506" t="s">
        <v>704</v>
      </c>
    </row>
    <row r="29" spans="1:6" ht="26.25" customHeight="1" thickTop="1" x14ac:dyDescent="0.25"/>
    <row r="30" spans="1:6" s="490" customFormat="1" ht="26.25" customHeight="1" thickBot="1" x14ac:dyDescent="0.3">
      <c r="A30" s="579" t="s">
        <v>920</v>
      </c>
      <c r="B30" s="579"/>
      <c r="C30" s="579"/>
      <c r="D30" s="579"/>
      <c r="E30" s="579"/>
      <c r="F30" s="580"/>
    </row>
    <row r="31" spans="1:6" s="512" customFormat="1" ht="26.25" customHeight="1" thickTop="1" thickBot="1" x14ac:dyDescent="0.3">
      <c r="A31" s="581" t="s">
        <v>874</v>
      </c>
      <c r="B31" s="581" t="s">
        <v>3</v>
      </c>
      <c r="C31" s="582" t="s">
        <v>921</v>
      </c>
      <c r="D31" s="583" t="s">
        <v>635</v>
      </c>
      <c r="E31" s="582" t="s">
        <v>876</v>
      </c>
      <c r="F31" s="585" t="s">
        <v>877</v>
      </c>
    </row>
    <row r="32" spans="1:6" s="513" customFormat="1" ht="26.25" customHeight="1" thickTop="1" thickBot="1" x14ac:dyDescent="0.3">
      <c r="A32" s="581"/>
      <c r="B32" s="581"/>
      <c r="C32" s="582"/>
      <c r="D32" s="584"/>
      <c r="E32" s="582"/>
      <c r="F32" s="585"/>
    </row>
    <row r="33" spans="1:7" s="490" customFormat="1" ht="26.25" customHeight="1" thickTop="1" thickBot="1" x14ac:dyDescent="0.3">
      <c r="A33" s="506">
        <v>27</v>
      </c>
      <c r="B33" s="506" t="s">
        <v>922</v>
      </c>
      <c r="C33" s="507">
        <v>4952938</v>
      </c>
      <c r="D33" s="507">
        <v>1914168.73</v>
      </c>
      <c r="E33" s="507">
        <f t="shared" ref="E33:E44" si="1">C33-D33</f>
        <v>3038769.27</v>
      </c>
      <c r="F33" s="506" t="s">
        <v>923</v>
      </c>
      <c r="G33" s="514"/>
    </row>
    <row r="34" spans="1:7" s="490" customFormat="1" ht="26.25" customHeight="1" thickTop="1" thickBot="1" x14ac:dyDescent="0.3">
      <c r="A34" s="506">
        <v>28</v>
      </c>
      <c r="B34" s="506" t="s">
        <v>924</v>
      </c>
      <c r="C34" s="507">
        <v>1625921</v>
      </c>
      <c r="D34" s="507">
        <f>1092050+520128.46</f>
        <v>1612178.46</v>
      </c>
      <c r="E34" s="507">
        <f t="shared" si="1"/>
        <v>13742.540000000037</v>
      </c>
      <c r="F34" s="506" t="s">
        <v>898</v>
      </c>
    </row>
    <row r="35" spans="1:7" s="490" customFormat="1" ht="26.25" customHeight="1" thickTop="1" thickBot="1" x14ac:dyDescent="0.3">
      <c r="A35" s="515">
        <v>29</v>
      </c>
      <c r="B35" s="515" t="s">
        <v>925</v>
      </c>
      <c r="C35" s="507">
        <v>3476490</v>
      </c>
      <c r="D35" s="507">
        <f>2720948.28</f>
        <v>2720948.28</v>
      </c>
      <c r="E35" s="507">
        <f t="shared" si="1"/>
        <v>755541.7200000002</v>
      </c>
      <c r="F35" s="506" t="s">
        <v>926</v>
      </c>
      <c r="G35" s="514"/>
    </row>
    <row r="36" spans="1:7" s="490" customFormat="1" ht="26.25" customHeight="1" thickTop="1" thickBot="1" x14ac:dyDescent="0.3">
      <c r="A36" s="506">
        <v>30</v>
      </c>
      <c r="B36" s="509" t="s">
        <v>927</v>
      </c>
      <c r="C36" s="507">
        <v>478582.5</v>
      </c>
      <c r="D36" s="507">
        <v>0</v>
      </c>
      <c r="E36" s="507">
        <f t="shared" si="1"/>
        <v>478582.5</v>
      </c>
      <c r="F36" s="506" t="s">
        <v>887</v>
      </c>
    </row>
    <row r="37" spans="1:7" s="490" customFormat="1" ht="26.25" customHeight="1" thickTop="1" thickBot="1" x14ac:dyDescent="0.3">
      <c r="A37" s="515">
        <v>31</v>
      </c>
      <c r="B37" s="509" t="s">
        <v>928</v>
      </c>
      <c r="C37" s="507">
        <v>207821.91</v>
      </c>
      <c r="D37" s="507">
        <v>0</v>
      </c>
      <c r="E37" s="507">
        <f t="shared" si="1"/>
        <v>207821.91</v>
      </c>
      <c r="F37" s="506" t="s">
        <v>887</v>
      </c>
    </row>
    <row r="38" spans="1:7" s="490" customFormat="1" ht="26.25" customHeight="1" thickTop="1" thickBot="1" x14ac:dyDescent="0.3">
      <c r="A38" s="506">
        <v>32</v>
      </c>
      <c r="B38" s="516" t="s">
        <v>929</v>
      </c>
      <c r="C38" s="507">
        <v>248111.11</v>
      </c>
      <c r="D38" s="507">
        <v>0</v>
      </c>
      <c r="E38" s="507">
        <f t="shared" si="1"/>
        <v>248111.11</v>
      </c>
      <c r="F38" s="506" t="s">
        <v>887</v>
      </c>
    </row>
    <row r="39" spans="1:7" s="490" customFormat="1" ht="26.25" customHeight="1" thickTop="1" thickBot="1" x14ac:dyDescent="0.3">
      <c r="A39" s="515">
        <v>33</v>
      </c>
      <c r="B39" s="516" t="s">
        <v>930</v>
      </c>
      <c r="C39" s="507">
        <v>192111.11</v>
      </c>
      <c r="D39" s="507">
        <v>0</v>
      </c>
      <c r="E39" s="507">
        <f t="shared" si="1"/>
        <v>192111.11</v>
      </c>
      <c r="F39" s="506" t="s">
        <v>887</v>
      </c>
    </row>
    <row r="40" spans="1:7" s="490" customFormat="1" ht="26.25" customHeight="1" thickTop="1" thickBot="1" x14ac:dyDescent="0.3">
      <c r="A40" s="506">
        <v>34</v>
      </c>
      <c r="B40" s="516" t="s">
        <v>931</v>
      </c>
      <c r="C40" s="507">
        <v>229976.25</v>
      </c>
      <c r="D40" s="507">
        <v>0</v>
      </c>
      <c r="E40" s="507">
        <f t="shared" si="1"/>
        <v>229976.25</v>
      </c>
      <c r="F40" s="506" t="s">
        <v>887</v>
      </c>
    </row>
    <row r="41" spans="1:7" s="490" customFormat="1" ht="26.25" customHeight="1" thickTop="1" thickBot="1" x14ac:dyDescent="0.3">
      <c r="A41" s="515">
        <v>35</v>
      </c>
      <c r="B41" s="516" t="s">
        <v>273</v>
      </c>
      <c r="C41" s="507">
        <v>292846.15000000002</v>
      </c>
      <c r="D41" s="507">
        <v>0</v>
      </c>
      <c r="E41" s="507">
        <f t="shared" si="1"/>
        <v>292846.15000000002</v>
      </c>
      <c r="F41" s="506" t="s">
        <v>887</v>
      </c>
    </row>
    <row r="42" spans="1:7" s="490" customFormat="1" ht="26.25" customHeight="1" thickTop="1" thickBot="1" x14ac:dyDescent="0.3">
      <c r="A42" s="506">
        <v>36</v>
      </c>
      <c r="B42" s="516" t="s">
        <v>932</v>
      </c>
      <c r="C42" s="507">
        <v>221000</v>
      </c>
      <c r="D42" s="507">
        <v>0</v>
      </c>
      <c r="E42" s="507">
        <f t="shared" si="1"/>
        <v>221000</v>
      </c>
      <c r="F42" s="506" t="s">
        <v>887</v>
      </c>
    </row>
    <row r="43" spans="1:7" s="490" customFormat="1" ht="26.25" customHeight="1" thickTop="1" thickBot="1" x14ac:dyDescent="0.3">
      <c r="A43" s="515">
        <v>37</v>
      </c>
      <c r="B43" s="516" t="s">
        <v>933</v>
      </c>
      <c r="C43" s="507">
        <v>237271.93</v>
      </c>
      <c r="D43" s="507">
        <v>0</v>
      </c>
      <c r="E43" s="507">
        <f t="shared" si="1"/>
        <v>237271.93</v>
      </c>
      <c r="F43" s="506" t="s">
        <v>887</v>
      </c>
    </row>
    <row r="44" spans="1:7" s="517" customFormat="1" ht="26.25" customHeight="1" thickTop="1" thickBot="1" x14ac:dyDescent="0.3">
      <c r="A44" s="515">
        <v>38</v>
      </c>
      <c r="B44" s="515" t="s">
        <v>934</v>
      </c>
      <c r="C44" s="507">
        <v>1000000</v>
      </c>
      <c r="D44" s="507">
        <v>75190</v>
      </c>
      <c r="E44" s="507">
        <f t="shared" si="1"/>
        <v>924810</v>
      </c>
      <c r="F44" s="506" t="s">
        <v>724</v>
      </c>
    </row>
    <row r="45" spans="1:7" ht="26.25" customHeight="1" thickTop="1" x14ac:dyDescent="0.25"/>
  </sheetData>
  <mergeCells count="8">
    <mergeCell ref="A1:F1"/>
    <mergeCell ref="A30:F30"/>
    <mergeCell ref="A31:A32"/>
    <mergeCell ref="B31:B32"/>
    <mergeCell ref="C31:C32"/>
    <mergeCell ref="D31:D32"/>
    <mergeCell ref="E31:E32"/>
    <mergeCell ref="F31:F32"/>
  </mergeCells>
  <pageMargins left="0.70866141732283505" right="0.70866141732283505" top="0.74803149606299202" bottom="0.74803149606299202" header="0.31496062992126" footer="0.31496062992126"/>
  <pageSetup paperSize="9" scale="95" orientation="landscape"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23" zoomScale="90" zoomScaleNormal="100" zoomScaleSheetLayoutView="90" workbookViewId="0">
      <selection activeCell="A39" sqref="A39:E47"/>
    </sheetView>
  </sheetViews>
  <sheetFormatPr defaultRowHeight="16.5" x14ac:dyDescent="0.3"/>
  <cols>
    <col min="1" max="1" width="54.7109375" style="489" customWidth="1"/>
    <col min="2" max="2" width="10" style="489" customWidth="1"/>
    <col min="3" max="3" width="15.7109375" style="489" customWidth="1"/>
    <col min="4" max="4" width="12.140625" style="489" customWidth="1"/>
    <col min="5" max="5" width="10.28515625" style="489" customWidth="1"/>
    <col min="6" max="16384" width="9.140625" style="489"/>
  </cols>
  <sheetData>
    <row r="1" spans="1:5" ht="18.75" x14ac:dyDescent="0.3">
      <c r="A1" s="518" t="s">
        <v>1359</v>
      </c>
      <c r="B1" s="518"/>
    </row>
    <row r="2" spans="1:5" ht="33" customHeight="1" x14ac:dyDescent="0.3">
      <c r="A2" s="591" t="s">
        <v>1392</v>
      </c>
      <c r="B2" s="592"/>
      <c r="C2" s="592"/>
      <c r="D2" s="592"/>
      <c r="E2" s="592"/>
    </row>
    <row r="3" spans="1:5" ht="9" customHeight="1" thickBot="1" x14ac:dyDescent="0.35"/>
    <row r="4" spans="1:5" s="522" customFormat="1" ht="60.75" customHeight="1" thickTop="1" thickBot="1" x14ac:dyDescent="0.3">
      <c r="A4" s="519" t="s">
        <v>1364</v>
      </c>
      <c r="B4" s="520" t="s">
        <v>1365</v>
      </c>
      <c r="C4" s="521" t="s">
        <v>1435</v>
      </c>
      <c r="D4" s="521" t="s">
        <v>1366</v>
      </c>
      <c r="E4" s="520" t="s">
        <v>1365</v>
      </c>
    </row>
    <row r="5" spans="1:5" ht="24" customHeight="1" thickTop="1" thickBot="1" x14ac:dyDescent="0.35">
      <c r="A5" s="523" t="s">
        <v>1360</v>
      </c>
      <c r="B5" s="524">
        <v>0.4476</v>
      </c>
      <c r="C5" s="525">
        <v>38</v>
      </c>
      <c r="D5" s="525">
        <v>17</v>
      </c>
      <c r="E5" s="524">
        <v>0.4476</v>
      </c>
    </row>
    <row r="6" spans="1:5" ht="22.5" customHeight="1" thickTop="1" thickBot="1" x14ac:dyDescent="0.35">
      <c r="A6" s="526" t="s">
        <v>1361</v>
      </c>
      <c r="B6" s="524">
        <v>1.15E-2</v>
      </c>
      <c r="C6" s="525">
        <v>84</v>
      </c>
      <c r="D6" s="525">
        <v>1</v>
      </c>
      <c r="E6" s="524">
        <v>1.15E-2</v>
      </c>
    </row>
    <row r="7" spans="1:5" ht="26.25" customHeight="1" thickTop="1" thickBot="1" x14ac:dyDescent="0.35">
      <c r="A7" s="526" t="s">
        <v>47</v>
      </c>
      <c r="B7" s="524">
        <v>0.28570000000000001</v>
      </c>
      <c r="C7" s="525">
        <v>28</v>
      </c>
      <c r="D7" s="525">
        <v>8</v>
      </c>
      <c r="E7" s="524">
        <v>0.28570000000000001</v>
      </c>
    </row>
    <row r="8" spans="1:5" ht="20.25" customHeight="1" thickTop="1" thickBot="1" x14ac:dyDescent="0.35">
      <c r="A8" s="526" t="s">
        <v>1362</v>
      </c>
      <c r="B8" s="524">
        <v>0.3125</v>
      </c>
      <c r="C8" s="525">
        <v>16</v>
      </c>
      <c r="D8" s="525">
        <v>5</v>
      </c>
      <c r="E8" s="524">
        <v>0.3125</v>
      </c>
    </row>
    <row r="9" spans="1:5" ht="22.5" customHeight="1" thickTop="1" thickBot="1" x14ac:dyDescent="0.35">
      <c r="A9" s="526" t="s">
        <v>1363</v>
      </c>
      <c r="B9" s="524">
        <v>0.46510000000000001</v>
      </c>
      <c r="C9" s="525">
        <v>43</v>
      </c>
      <c r="D9" s="525">
        <v>20</v>
      </c>
      <c r="E9" s="524">
        <v>0.46510000000000001</v>
      </c>
    </row>
    <row r="10" spans="1:5" ht="18" thickTop="1" thickBot="1" x14ac:dyDescent="0.35">
      <c r="A10" s="527"/>
      <c r="B10" s="527"/>
    </row>
    <row r="11" spans="1:5" ht="32.25" customHeight="1" thickTop="1" thickBot="1" x14ac:dyDescent="0.35">
      <c r="C11" s="586" t="s">
        <v>1370</v>
      </c>
      <c r="D11" s="587"/>
      <c r="E11" s="588"/>
    </row>
    <row r="12" spans="1:5" ht="17.25" thickTop="1" x14ac:dyDescent="0.3"/>
    <row r="39" spans="1:5" x14ac:dyDescent="0.3">
      <c r="A39" s="589" t="s">
        <v>1436</v>
      </c>
      <c r="B39" s="590"/>
      <c r="C39" s="590"/>
      <c r="D39" s="590"/>
      <c r="E39" s="590"/>
    </row>
    <row r="40" spans="1:5" x14ac:dyDescent="0.3">
      <c r="A40" s="590"/>
      <c r="B40" s="590"/>
      <c r="C40" s="590"/>
      <c r="D40" s="590"/>
      <c r="E40" s="590"/>
    </row>
    <row r="41" spans="1:5" x14ac:dyDescent="0.3">
      <c r="A41" s="590"/>
      <c r="B41" s="590"/>
      <c r="C41" s="590"/>
      <c r="D41" s="590"/>
      <c r="E41" s="590"/>
    </row>
    <row r="42" spans="1:5" x14ac:dyDescent="0.3">
      <c r="A42" s="590"/>
      <c r="B42" s="590"/>
      <c r="C42" s="590"/>
      <c r="D42" s="590"/>
      <c r="E42" s="590"/>
    </row>
    <row r="43" spans="1:5" x14ac:dyDescent="0.3">
      <c r="A43" s="590"/>
      <c r="B43" s="590"/>
      <c r="C43" s="590"/>
      <c r="D43" s="590"/>
      <c r="E43" s="590"/>
    </row>
    <row r="44" spans="1:5" x14ac:dyDescent="0.3">
      <c r="A44" s="590"/>
      <c r="B44" s="590"/>
      <c r="C44" s="590"/>
      <c r="D44" s="590"/>
      <c r="E44" s="590"/>
    </row>
    <row r="45" spans="1:5" x14ac:dyDescent="0.3">
      <c r="A45" s="590"/>
      <c r="B45" s="590"/>
      <c r="C45" s="590"/>
      <c r="D45" s="590"/>
      <c r="E45" s="590"/>
    </row>
    <row r="46" spans="1:5" x14ac:dyDescent="0.3">
      <c r="A46" s="590"/>
      <c r="B46" s="590"/>
      <c r="C46" s="590"/>
      <c r="D46" s="590"/>
      <c r="E46" s="590"/>
    </row>
    <row r="47" spans="1:5" x14ac:dyDescent="0.3">
      <c r="A47" s="590"/>
      <c r="B47" s="590"/>
      <c r="C47" s="590"/>
      <c r="D47" s="590"/>
      <c r="E47" s="590"/>
    </row>
  </sheetData>
  <mergeCells count="3">
    <mergeCell ref="C11:E11"/>
    <mergeCell ref="A39:E47"/>
    <mergeCell ref="A2:E2"/>
  </mergeCells>
  <pageMargins left="0.70866141732283505" right="0.70866141732283505" top="0.74803149606299202" bottom="0.74803149606299202" header="0.31496062992126" footer="0.31496062992126"/>
  <pageSetup paperSize="9" scale="80" orientation="portrait"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view="pageBreakPreview" topLeftCell="A9" zoomScale="90" zoomScaleNormal="70" zoomScaleSheetLayoutView="90" workbookViewId="0">
      <selection activeCell="D17" sqref="D17"/>
    </sheetView>
  </sheetViews>
  <sheetFormatPr defaultRowHeight="15" x14ac:dyDescent="0.25"/>
  <cols>
    <col min="2" max="2" width="78.5703125" customWidth="1"/>
  </cols>
  <sheetData>
    <row r="1" spans="1:2" ht="121.5" customHeight="1" x14ac:dyDescent="0.25">
      <c r="A1" s="23"/>
      <c r="B1" s="237" t="s">
        <v>936</v>
      </c>
    </row>
    <row r="2" spans="1:2" x14ac:dyDescent="0.25">
      <c r="A2" s="23"/>
      <c r="B2" s="23"/>
    </row>
    <row r="3" spans="1:2" x14ac:dyDescent="0.25">
      <c r="A3" s="23"/>
      <c r="B3" s="23"/>
    </row>
    <row r="4" spans="1:2" x14ac:dyDescent="0.25">
      <c r="A4" s="23"/>
      <c r="B4" s="23"/>
    </row>
    <row r="5" spans="1:2" x14ac:dyDescent="0.25">
      <c r="A5" s="23"/>
      <c r="B5" s="23"/>
    </row>
    <row r="6" spans="1:2" x14ac:dyDescent="0.25">
      <c r="A6" s="23"/>
      <c r="B6" s="23"/>
    </row>
    <row r="7" spans="1:2" x14ac:dyDescent="0.25">
      <c r="A7" s="23"/>
      <c r="B7" s="23"/>
    </row>
    <row r="8" spans="1:2" x14ac:dyDescent="0.25">
      <c r="A8" s="23"/>
      <c r="B8" s="23"/>
    </row>
    <row r="9" spans="1:2" x14ac:dyDescent="0.25">
      <c r="A9" s="23"/>
      <c r="B9" s="23"/>
    </row>
    <row r="10" spans="1:2" x14ac:dyDescent="0.25">
      <c r="A10" s="23"/>
      <c r="B10" s="23"/>
    </row>
    <row r="11" spans="1:2" x14ac:dyDescent="0.25">
      <c r="A11" s="23"/>
      <c r="B11" s="23"/>
    </row>
    <row r="12" spans="1:2" x14ac:dyDescent="0.25">
      <c r="A12" s="23"/>
      <c r="B12" s="23"/>
    </row>
    <row r="13" spans="1:2" x14ac:dyDescent="0.25">
      <c r="A13" s="23"/>
      <c r="B13" s="23"/>
    </row>
    <row r="14" spans="1:2" x14ac:dyDescent="0.25">
      <c r="A14" s="23"/>
      <c r="B14" s="23"/>
    </row>
    <row r="15" spans="1:2" x14ac:dyDescent="0.25">
      <c r="A15" s="23"/>
      <c r="B15" s="23"/>
    </row>
    <row r="16" spans="1:2" x14ac:dyDescent="0.25">
      <c r="A16" s="23"/>
      <c r="B16" s="23"/>
    </row>
    <row r="17" spans="1:2" x14ac:dyDescent="0.25">
      <c r="A17" s="23"/>
      <c r="B17" s="23"/>
    </row>
    <row r="18" spans="1:2" x14ac:dyDescent="0.25">
      <c r="A18" s="23"/>
      <c r="B18" s="23"/>
    </row>
    <row r="19" spans="1:2" x14ac:dyDescent="0.25">
      <c r="A19" s="23"/>
      <c r="B19" s="23"/>
    </row>
    <row r="20" spans="1:2" x14ac:dyDescent="0.25">
      <c r="A20" s="23"/>
      <c r="B20" s="23"/>
    </row>
    <row r="21" spans="1:2" ht="101.25" x14ac:dyDescent="0.5">
      <c r="A21" s="23"/>
      <c r="B21" s="238" t="s">
        <v>1417</v>
      </c>
    </row>
    <row r="22" spans="1:2" x14ac:dyDescent="0.25">
      <c r="A22" s="23"/>
      <c r="B22" s="23"/>
    </row>
    <row r="23" spans="1:2" x14ac:dyDescent="0.25">
      <c r="A23" s="23"/>
      <c r="B23" s="23"/>
    </row>
    <row r="24" spans="1:2" x14ac:dyDescent="0.25">
      <c r="A24" s="23"/>
      <c r="B24" s="23"/>
    </row>
    <row r="25" spans="1:2" ht="10.5" customHeight="1" x14ac:dyDescent="0.25">
      <c r="A25" s="23"/>
      <c r="B25" s="23"/>
    </row>
    <row r="26" spans="1:2" hidden="1" x14ac:dyDescent="0.25">
      <c r="A26" s="23"/>
      <c r="B26" s="23"/>
    </row>
    <row r="27" spans="1:2" hidden="1" x14ac:dyDescent="0.25">
      <c r="A27" s="23"/>
      <c r="B27" s="23"/>
    </row>
    <row r="28" spans="1:2" ht="26.25" customHeight="1" x14ac:dyDescent="0.25">
      <c r="A28" s="23"/>
      <c r="B28" s="23"/>
    </row>
    <row r="29" spans="1:2" ht="8.25" hidden="1" customHeight="1" x14ac:dyDescent="0.25">
      <c r="A29" s="23"/>
      <c r="B29" s="23"/>
    </row>
    <row r="30" spans="1:2" hidden="1" x14ac:dyDescent="0.25">
      <c r="A30" s="23"/>
      <c r="B30" s="23"/>
    </row>
    <row r="31" spans="1:2" hidden="1" x14ac:dyDescent="0.25">
      <c r="A31" s="23"/>
      <c r="B31" s="23"/>
    </row>
    <row r="32" spans="1:2" hidden="1" x14ac:dyDescent="0.25">
      <c r="A32" s="23"/>
      <c r="B32" s="23"/>
    </row>
    <row r="33" spans="1:1" ht="67.5" customHeight="1" x14ac:dyDescent="0.25">
      <c r="A33" s="23"/>
    </row>
  </sheetData>
  <pageMargins left="0.70866141732283505" right="0.70866141732283505" top="0.74803149606299202" bottom="0.74803149606299202" header="0.31496062992126" footer="0.31496062992126"/>
  <pageSetup paperSize="9" scale="56" orientation="portrait"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6"/>
  <sheetViews>
    <sheetView view="pageBreakPreview" zoomScaleNormal="100" zoomScaleSheetLayoutView="100" workbookViewId="0">
      <selection activeCell="E10" sqref="E10"/>
    </sheetView>
  </sheetViews>
  <sheetFormatPr defaultRowHeight="15" x14ac:dyDescent="0.25"/>
  <cols>
    <col min="1" max="1" width="26.28515625" customWidth="1"/>
    <col min="2" max="2" width="15.42578125" customWidth="1"/>
    <col min="3" max="3" width="13.28515625" customWidth="1"/>
    <col min="4" max="4" width="15" customWidth="1"/>
    <col min="5" max="5" width="37.7109375" customWidth="1"/>
  </cols>
  <sheetData>
    <row r="1" spans="1:6" ht="18.75" x14ac:dyDescent="0.3">
      <c r="A1" s="331" t="s">
        <v>1102</v>
      </c>
      <c r="B1" s="331"/>
      <c r="C1" s="331"/>
      <c r="D1" s="329"/>
      <c r="E1" s="328"/>
      <c r="F1" s="330"/>
    </row>
    <row r="2" spans="1:6" x14ac:dyDescent="0.25">
      <c r="A2" s="330"/>
      <c r="B2" s="330"/>
      <c r="C2" s="330"/>
      <c r="D2" s="329"/>
      <c r="E2" s="328" t="s">
        <v>1101</v>
      </c>
      <c r="F2" s="330"/>
    </row>
    <row r="3" spans="1:6" x14ac:dyDescent="0.25">
      <c r="A3" s="330" t="s">
        <v>1100</v>
      </c>
      <c r="B3" s="330"/>
      <c r="C3" s="330"/>
      <c r="D3" s="329"/>
      <c r="E3" s="328"/>
      <c r="F3" s="147"/>
    </row>
    <row r="4" spans="1:6" x14ac:dyDescent="0.25">
      <c r="A4" s="330" t="s">
        <v>1099</v>
      </c>
      <c r="B4" s="330"/>
      <c r="C4" s="330"/>
      <c r="D4" s="329"/>
      <c r="E4" s="328"/>
      <c r="F4" s="147"/>
    </row>
    <row r="5" spans="1:6" x14ac:dyDescent="0.25">
      <c r="A5" s="327" t="s">
        <v>1098</v>
      </c>
      <c r="B5" s="147"/>
      <c r="C5" s="147"/>
      <c r="D5" s="326"/>
      <c r="E5" s="325"/>
      <c r="F5" s="147"/>
    </row>
    <row r="6" spans="1:6" x14ac:dyDescent="0.25">
      <c r="A6" s="309"/>
      <c r="B6" s="319" t="s">
        <v>1097</v>
      </c>
      <c r="C6" s="319" t="s">
        <v>1096</v>
      </c>
      <c r="D6" s="316" t="s">
        <v>1095</v>
      </c>
      <c r="E6" s="272"/>
      <c r="F6" s="147"/>
    </row>
    <row r="7" spans="1:6" x14ac:dyDescent="0.25">
      <c r="A7" s="309"/>
      <c r="B7" s="319">
        <f>+B8+B9+B10+B11</f>
        <v>750000</v>
      </c>
      <c r="C7" s="319"/>
      <c r="D7" s="316"/>
      <c r="E7" s="272"/>
      <c r="F7" s="147"/>
    </row>
    <row r="8" spans="1:6" x14ac:dyDescent="0.25">
      <c r="A8" s="246" t="s">
        <v>1094</v>
      </c>
      <c r="B8" s="322">
        <v>700000</v>
      </c>
      <c r="C8" s="322"/>
      <c r="D8" s="321"/>
      <c r="E8" s="320" t="s">
        <v>1086</v>
      </c>
      <c r="F8" s="323"/>
    </row>
    <row r="9" spans="1:6" x14ac:dyDescent="0.25">
      <c r="A9" s="246" t="s">
        <v>1093</v>
      </c>
      <c r="B9" s="322">
        <v>40000</v>
      </c>
      <c r="C9" s="322"/>
      <c r="D9" s="321"/>
      <c r="E9" s="320" t="s">
        <v>1441</v>
      </c>
      <c r="F9" s="323"/>
    </row>
    <row r="10" spans="1:6" x14ac:dyDescent="0.25">
      <c r="A10" s="246" t="s">
        <v>356</v>
      </c>
      <c r="B10" s="322">
        <v>5000</v>
      </c>
      <c r="C10" s="322"/>
      <c r="D10" s="321"/>
      <c r="E10" s="324" t="s">
        <v>1086</v>
      </c>
      <c r="F10" s="323"/>
    </row>
    <row r="11" spans="1:6" x14ac:dyDescent="0.25">
      <c r="A11" s="246" t="s">
        <v>357</v>
      </c>
      <c r="B11" s="322">
        <v>5000</v>
      </c>
      <c r="C11" s="322"/>
      <c r="D11" s="321"/>
      <c r="E11" s="320" t="s">
        <v>1086</v>
      </c>
      <c r="F11" s="323"/>
    </row>
    <row r="12" spans="1:6" x14ac:dyDescent="0.25">
      <c r="A12" s="246"/>
      <c r="B12" s="322"/>
      <c r="C12" s="322"/>
      <c r="D12" s="321"/>
      <c r="E12" s="320"/>
      <c r="F12" s="147"/>
    </row>
    <row r="13" spans="1:6" x14ac:dyDescent="0.25">
      <c r="A13" s="246" t="s">
        <v>1092</v>
      </c>
      <c r="B13" s="322">
        <v>0</v>
      </c>
      <c r="C13" s="322">
        <v>0</v>
      </c>
      <c r="D13" s="321">
        <v>0</v>
      </c>
      <c r="E13" s="320" t="s">
        <v>1077</v>
      </c>
      <c r="F13" s="147"/>
    </row>
    <row r="14" spans="1:6" x14ac:dyDescent="0.25">
      <c r="A14" s="317"/>
      <c r="B14" s="319"/>
      <c r="C14" s="319"/>
      <c r="D14" s="318"/>
      <c r="E14" s="272"/>
      <c r="F14" s="147"/>
    </row>
    <row r="15" spans="1:6" x14ac:dyDescent="0.25">
      <c r="A15" s="317"/>
      <c r="B15" s="309"/>
      <c r="C15" s="309"/>
      <c r="D15" s="316"/>
      <c r="E15" s="315"/>
      <c r="F15" s="147"/>
    </row>
    <row r="16" spans="1:6" x14ac:dyDescent="0.25">
      <c r="A16" s="313" t="s">
        <v>1091</v>
      </c>
      <c r="B16" s="312">
        <f>B20+B19+B18</f>
        <v>638000</v>
      </c>
      <c r="C16" s="312"/>
      <c r="D16" s="243"/>
      <c r="E16" s="295"/>
      <c r="F16" s="147"/>
    </row>
    <row r="17" spans="1:6" x14ac:dyDescent="0.25">
      <c r="A17" s="313"/>
      <c r="B17" s="312"/>
      <c r="C17" s="312"/>
      <c r="D17" s="243"/>
      <c r="E17" s="295"/>
      <c r="F17" s="147"/>
    </row>
    <row r="18" spans="1:6" x14ac:dyDescent="0.25">
      <c r="A18" s="246" t="s">
        <v>1090</v>
      </c>
      <c r="B18" s="244">
        <v>80000</v>
      </c>
      <c r="C18" s="312"/>
      <c r="D18" s="243"/>
      <c r="E18" s="276" t="s">
        <v>1086</v>
      </c>
      <c r="F18" s="147"/>
    </row>
    <row r="19" spans="1:6" x14ac:dyDescent="0.25">
      <c r="A19" s="246" t="s">
        <v>1089</v>
      </c>
      <c r="B19" s="244">
        <v>8000</v>
      </c>
      <c r="C19" s="312"/>
      <c r="D19" s="243"/>
      <c r="E19" s="259" t="s">
        <v>1088</v>
      </c>
      <c r="F19" s="147"/>
    </row>
    <row r="20" spans="1:6" x14ac:dyDescent="0.25">
      <c r="A20" s="295" t="s">
        <v>1087</v>
      </c>
      <c r="B20" s="244">
        <v>550000</v>
      </c>
      <c r="C20" s="312"/>
      <c r="D20" s="243"/>
      <c r="E20" s="295" t="s">
        <v>1086</v>
      </c>
      <c r="F20" s="297"/>
    </row>
    <row r="21" spans="1:6" x14ac:dyDescent="0.25">
      <c r="A21" s="295" t="s">
        <v>1085</v>
      </c>
      <c r="B21" s="244"/>
      <c r="C21" s="244">
        <v>34593</v>
      </c>
      <c r="D21" s="243">
        <v>1560</v>
      </c>
      <c r="E21" s="304" t="s">
        <v>1084</v>
      </c>
      <c r="F21" s="239"/>
    </row>
    <row r="22" spans="1:6" x14ac:dyDescent="0.25">
      <c r="A22" s="271"/>
      <c r="B22" s="278"/>
      <c r="C22" s="278"/>
      <c r="D22" s="299"/>
      <c r="E22" s="297"/>
      <c r="F22" s="147"/>
    </row>
    <row r="23" spans="1:6" x14ac:dyDescent="0.25">
      <c r="A23" s="267" t="s">
        <v>1083</v>
      </c>
      <c r="B23" s="314">
        <f>SUM(B25:B27)</f>
        <v>305000</v>
      </c>
      <c r="C23" s="314"/>
      <c r="D23" s="299"/>
      <c r="E23" s="297"/>
      <c r="F23" s="147"/>
    </row>
    <row r="24" spans="1:6" x14ac:dyDescent="0.25">
      <c r="A24" s="271"/>
      <c r="B24" s="262"/>
      <c r="C24" s="262"/>
      <c r="D24" s="299"/>
      <c r="E24" s="297"/>
      <c r="F24" s="147"/>
    </row>
    <row r="25" spans="1:6" x14ac:dyDescent="0.25">
      <c r="A25" s="246" t="s">
        <v>1082</v>
      </c>
      <c r="B25" s="244">
        <v>30000</v>
      </c>
      <c r="C25" s="244"/>
      <c r="D25" s="243">
        <v>8205</v>
      </c>
      <c r="E25" s="259" t="s">
        <v>704</v>
      </c>
      <c r="F25" s="147"/>
    </row>
    <row r="26" spans="1:6" x14ac:dyDescent="0.25">
      <c r="A26" s="246" t="s">
        <v>1081</v>
      </c>
      <c r="B26" s="244">
        <v>175000</v>
      </c>
      <c r="C26" s="244"/>
      <c r="D26" s="243"/>
      <c r="E26" s="259" t="s">
        <v>957</v>
      </c>
      <c r="F26" s="147"/>
    </row>
    <row r="27" spans="1:6" x14ac:dyDescent="0.25">
      <c r="A27" s="246" t="s">
        <v>1080</v>
      </c>
      <c r="B27" s="244">
        <v>100000</v>
      </c>
      <c r="C27" s="244"/>
      <c r="D27" s="243"/>
      <c r="E27" s="259" t="s">
        <v>957</v>
      </c>
      <c r="F27" s="147"/>
    </row>
    <row r="28" spans="1:6" x14ac:dyDescent="0.25">
      <c r="A28" s="271"/>
      <c r="B28" s="262"/>
      <c r="C28" s="262"/>
      <c r="D28" s="299"/>
      <c r="E28" s="297"/>
      <c r="F28" s="147"/>
    </row>
    <row r="29" spans="1:6" x14ac:dyDescent="0.25">
      <c r="A29" s="271"/>
      <c r="B29" s="262"/>
      <c r="C29" s="262"/>
      <c r="D29" s="299"/>
      <c r="E29" s="297"/>
      <c r="F29" s="147"/>
    </row>
    <row r="30" spans="1:6" x14ac:dyDescent="0.25">
      <c r="A30" s="267" t="s">
        <v>1079</v>
      </c>
      <c r="B30" s="314">
        <f>SUM(B32:B35)</f>
        <v>550000</v>
      </c>
      <c r="C30" s="314"/>
      <c r="D30" s="299"/>
      <c r="E30" s="297"/>
      <c r="F30" s="147"/>
    </row>
    <row r="31" spans="1:6" x14ac:dyDescent="0.25">
      <c r="A31" s="267"/>
      <c r="B31" s="262"/>
      <c r="C31" s="262"/>
      <c r="D31" s="299"/>
      <c r="E31" s="297"/>
      <c r="F31" s="147"/>
    </row>
    <row r="32" spans="1:6" x14ac:dyDescent="0.25">
      <c r="A32" s="246" t="s">
        <v>1078</v>
      </c>
      <c r="B32" s="244">
        <v>100000</v>
      </c>
      <c r="C32" s="244"/>
      <c r="D32" s="243"/>
      <c r="E32" s="276" t="s">
        <v>1077</v>
      </c>
      <c r="F32" s="147"/>
    </row>
    <row r="33" spans="1:6" x14ac:dyDescent="0.25">
      <c r="A33" s="246" t="s">
        <v>1076</v>
      </c>
      <c r="B33" s="244">
        <v>50000</v>
      </c>
      <c r="C33" s="244"/>
      <c r="D33" s="243"/>
      <c r="E33" s="276" t="s">
        <v>957</v>
      </c>
      <c r="F33" s="147"/>
    </row>
    <row r="34" spans="1:6" x14ac:dyDescent="0.25">
      <c r="A34" s="246" t="s">
        <v>1075</v>
      </c>
      <c r="B34" s="244">
        <v>100000</v>
      </c>
      <c r="C34" s="244"/>
      <c r="D34" s="243"/>
      <c r="E34" s="258" t="s">
        <v>957</v>
      </c>
      <c r="F34" s="147"/>
    </row>
    <row r="35" spans="1:6" x14ac:dyDescent="0.25">
      <c r="A35" s="246" t="s">
        <v>1074</v>
      </c>
      <c r="B35" s="244">
        <v>300000</v>
      </c>
      <c r="C35" s="244"/>
      <c r="D35" s="247"/>
      <c r="E35" s="276" t="s">
        <v>957</v>
      </c>
      <c r="F35" s="147"/>
    </row>
    <row r="36" spans="1:6" x14ac:dyDescent="0.25">
      <c r="A36" s="246"/>
      <c r="B36" s="244"/>
      <c r="C36" s="244"/>
      <c r="D36" s="247"/>
      <c r="E36" s="246"/>
      <c r="F36" s="147"/>
    </row>
    <row r="37" spans="1:6" x14ac:dyDescent="0.25">
      <c r="A37" s="271"/>
      <c r="B37" s="278"/>
      <c r="C37" s="278"/>
      <c r="D37" s="299"/>
      <c r="E37" s="297"/>
      <c r="F37" s="147"/>
    </row>
    <row r="38" spans="1:6" x14ac:dyDescent="0.25">
      <c r="A38" s="313" t="s">
        <v>50</v>
      </c>
      <c r="B38" s="312">
        <f>B49+B48+B47+B46+B45+B44+B43+B42</f>
        <v>2078000</v>
      </c>
      <c r="C38" s="244"/>
      <c r="D38" s="243"/>
      <c r="E38" s="295"/>
      <c r="F38" s="147"/>
    </row>
    <row r="39" spans="1:6" ht="16.5" x14ac:dyDescent="0.35">
      <c r="A39" s="246"/>
      <c r="B39" s="296"/>
      <c r="C39" s="296">
        <v>0</v>
      </c>
      <c r="D39" s="243"/>
      <c r="E39" s="295"/>
      <c r="F39" s="147"/>
    </row>
    <row r="40" spans="1:6" x14ac:dyDescent="0.25">
      <c r="A40" s="246" t="s">
        <v>1073</v>
      </c>
      <c r="B40" s="244" t="s">
        <v>1032</v>
      </c>
      <c r="C40" s="244">
        <v>0</v>
      </c>
      <c r="D40" s="243"/>
      <c r="E40" s="259" t="s">
        <v>957</v>
      </c>
      <c r="F40" s="147"/>
    </row>
    <row r="41" spans="1:6" x14ac:dyDescent="0.25">
      <c r="A41" s="246" t="s">
        <v>1072</v>
      </c>
      <c r="B41" s="244" t="s">
        <v>1032</v>
      </c>
      <c r="C41" s="244">
        <v>166200.07</v>
      </c>
      <c r="D41" s="243"/>
      <c r="E41" s="242" t="s">
        <v>972</v>
      </c>
      <c r="F41" s="147"/>
    </row>
    <row r="42" spans="1:6" x14ac:dyDescent="0.25">
      <c r="A42" s="246" t="s">
        <v>1071</v>
      </c>
      <c r="B42" s="244">
        <v>15000</v>
      </c>
      <c r="C42" s="244"/>
      <c r="D42" s="243"/>
      <c r="E42" s="276" t="s">
        <v>1069</v>
      </c>
      <c r="F42" s="147"/>
    </row>
    <row r="43" spans="1:6" x14ac:dyDescent="0.25">
      <c r="A43" s="246" t="s">
        <v>1070</v>
      </c>
      <c r="B43" s="244">
        <v>8000</v>
      </c>
      <c r="C43" s="244"/>
      <c r="D43" s="243"/>
      <c r="E43" s="276" t="s">
        <v>1069</v>
      </c>
      <c r="F43" s="147"/>
    </row>
    <row r="44" spans="1:6" x14ac:dyDescent="0.25">
      <c r="A44" s="246" t="s">
        <v>178</v>
      </c>
      <c r="B44" s="244">
        <v>20000</v>
      </c>
      <c r="C44" s="244"/>
      <c r="D44" s="243"/>
      <c r="E44" s="276" t="s">
        <v>957</v>
      </c>
      <c r="F44" s="147"/>
    </row>
    <row r="45" spans="1:6" x14ac:dyDescent="0.25">
      <c r="A45" s="246" t="s">
        <v>1068</v>
      </c>
      <c r="B45" s="244">
        <v>500000</v>
      </c>
      <c r="C45" s="244"/>
      <c r="D45" s="243"/>
      <c r="E45" s="276" t="s">
        <v>957</v>
      </c>
      <c r="F45" s="147"/>
    </row>
    <row r="46" spans="1:6" x14ac:dyDescent="0.25">
      <c r="A46" s="246" t="s">
        <v>1067</v>
      </c>
      <c r="B46" s="244">
        <v>30000</v>
      </c>
      <c r="C46" s="244"/>
      <c r="D46" s="243"/>
      <c r="E46" s="276" t="s">
        <v>1064</v>
      </c>
      <c r="F46" s="147"/>
    </row>
    <row r="47" spans="1:6" x14ac:dyDescent="0.25">
      <c r="A47" s="246" t="s">
        <v>1066</v>
      </c>
      <c r="B47" s="244">
        <v>5000</v>
      </c>
      <c r="C47" s="244"/>
      <c r="D47" s="243"/>
      <c r="E47" s="259" t="s">
        <v>1064</v>
      </c>
      <c r="F47" s="147"/>
    </row>
    <row r="48" spans="1:6" x14ac:dyDescent="0.25">
      <c r="A48" s="246" t="s">
        <v>1065</v>
      </c>
      <c r="B48" s="244">
        <v>500000</v>
      </c>
      <c r="C48" s="244"/>
      <c r="D48" s="243"/>
      <c r="E48" s="259" t="s">
        <v>1064</v>
      </c>
      <c r="F48" s="147"/>
    </row>
    <row r="49" spans="1:6" x14ac:dyDescent="0.25">
      <c r="A49" s="246" t="s">
        <v>1063</v>
      </c>
      <c r="B49" s="244">
        <v>1000000</v>
      </c>
      <c r="C49" s="244"/>
      <c r="D49" s="243"/>
      <c r="E49" s="242" t="s">
        <v>951</v>
      </c>
      <c r="F49" s="147"/>
    </row>
    <row r="50" spans="1:6" x14ac:dyDescent="0.25">
      <c r="A50" s="271"/>
      <c r="B50" s="262"/>
      <c r="C50" s="262"/>
      <c r="D50" s="284"/>
      <c r="E50" s="283"/>
      <c r="F50" s="147"/>
    </row>
    <row r="51" spans="1:6" x14ac:dyDescent="0.25">
      <c r="A51" s="267" t="s">
        <v>1062</v>
      </c>
      <c r="B51" s="278"/>
      <c r="C51" s="278"/>
      <c r="D51" s="299"/>
      <c r="E51" s="297"/>
      <c r="F51" s="147"/>
    </row>
    <row r="52" spans="1:6" x14ac:dyDescent="0.25">
      <c r="A52" s="271"/>
      <c r="B52" s="278"/>
      <c r="C52" s="278"/>
      <c r="D52" s="299"/>
      <c r="E52" s="297"/>
      <c r="F52" s="147"/>
    </row>
    <row r="53" spans="1:6" x14ac:dyDescent="0.25">
      <c r="A53" s="267" t="s">
        <v>305</v>
      </c>
      <c r="B53" s="278"/>
      <c r="C53" s="278"/>
      <c r="D53" s="299"/>
      <c r="E53" s="297"/>
      <c r="F53" s="147"/>
    </row>
    <row r="54" spans="1:6" x14ac:dyDescent="0.25">
      <c r="A54" s="267" t="s">
        <v>1061</v>
      </c>
      <c r="B54" s="262"/>
      <c r="C54" s="262"/>
      <c r="D54" s="299"/>
      <c r="E54" s="297"/>
      <c r="F54" s="147"/>
    </row>
    <row r="55" spans="1:6" x14ac:dyDescent="0.25">
      <c r="A55" s="147"/>
      <c r="B55" s="264">
        <f>SUM(B56:B56)</f>
        <v>6000000</v>
      </c>
      <c r="C55" s="264"/>
      <c r="D55" s="299"/>
      <c r="E55" s="297"/>
      <c r="F55" s="147"/>
    </row>
    <row r="56" spans="1:6" x14ac:dyDescent="0.25">
      <c r="A56" s="246" t="s">
        <v>185</v>
      </c>
      <c r="B56" s="311">
        <v>6000000</v>
      </c>
      <c r="C56" s="288"/>
      <c r="D56" s="243"/>
      <c r="E56" s="259" t="s">
        <v>957</v>
      </c>
      <c r="F56" s="147"/>
    </row>
    <row r="57" spans="1:6" x14ac:dyDescent="0.25">
      <c r="A57" s="307" t="s">
        <v>1060</v>
      </c>
      <c r="B57" s="288"/>
      <c r="C57" s="244">
        <v>11000000</v>
      </c>
      <c r="D57" s="243">
        <v>10580000</v>
      </c>
      <c r="E57" s="310" t="s">
        <v>704</v>
      </c>
      <c r="F57" s="147"/>
    </row>
    <row r="58" spans="1:6" x14ac:dyDescent="0.25">
      <c r="A58" s="271"/>
      <c r="B58" s="285"/>
      <c r="C58" s="285"/>
      <c r="D58" s="284"/>
      <c r="E58" s="271"/>
      <c r="F58" s="147"/>
    </row>
    <row r="59" spans="1:6" x14ac:dyDescent="0.25">
      <c r="A59" s="271"/>
      <c r="B59" s="285"/>
      <c r="C59" s="285"/>
      <c r="D59" s="284"/>
      <c r="E59" s="271"/>
      <c r="F59" s="147"/>
    </row>
    <row r="60" spans="1:6" x14ac:dyDescent="0.25">
      <c r="A60" s="267" t="s">
        <v>1059</v>
      </c>
      <c r="B60" s="264">
        <f>B61+B62+B63+B64+B65+B66+B67+B68+B69+B70+B71+B72+B73+B74+B75+B76+B77+B78+B79+B80</f>
        <v>11555000</v>
      </c>
      <c r="C60" s="262"/>
      <c r="D60" s="299"/>
      <c r="E60" s="297"/>
      <c r="F60" s="147"/>
    </row>
    <row r="61" spans="1:6" x14ac:dyDescent="0.25">
      <c r="A61" s="246" t="s">
        <v>191</v>
      </c>
      <c r="B61" s="244">
        <v>1500000</v>
      </c>
      <c r="C61" s="244"/>
      <c r="D61" s="243"/>
      <c r="E61" s="242" t="s">
        <v>951</v>
      </c>
      <c r="F61" s="309"/>
    </row>
    <row r="62" spans="1:6" x14ac:dyDescent="0.25">
      <c r="A62" s="246" t="s">
        <v>1058</v>
      </c>
      <c r="B62" s="244">
        <v>2400000</v>
      </c>
      <c r="C62" s="244"/>
      <c r="D62" s="243"/>
      <c r="E62" s="242" t="s">
        <v>951</v>
      </c>
      <c r="F62" s="309"/>
    </row>
    <row r="63" spans="1:6" x14ac:dyDescent="0.25">
      <c r="A63" s="246" t="s">
        <v>1057</v>
      </c>
      <c r="B63" s="244">
        <v>280000</v>
      </c>
      <c r="C63" s="244"/>
      <c r="D63" s="243"/>
      <c r="E63" s="242" t="s">
        <v>951</v>
      </c>
      <c r="F63" s="309"/>
    </row>
    <row r="64" spans="1:6" x14ac:dyDescent="0.25">
      <c r="A64" s="246" t="s">
        <v>1056</v>
      </c>
      <c r="B64" s="244">
        <v>280000</v>
      </c>
      <c r="C64" s="244"/>
      <c r="D64" s="243"/>
      <c r="E64" s="242" t="s">
        <v>951</v>
      </c>
      <c r="F64" s="309"/>
    </row>
    <row r="65" spans="1:6" x14ac:dyDescent="0.25">
      <c r="A65" s="246" t="s">
        <v>196</v>
      </c>
      <c r="B65" s="244">
        <v>280000</v>
      </c>
      <c r="C65" s="244"/>
      <c r="D65" s="243"/>
      <c r="E65" s="242" t="s">
        <v>951</v>
      </c>
      <c r="F65" s="309"/>
    </row>
    <row r="66" spans="1:6" x14ac:dyDescent="0.25">
      <c r="A66" s="246" t="s">
        <v>198</v>
      </c>
      <c r="B66" s="244">
        <v>280000</v>
      </c>
      <c r="C66" s="244"/>
      <c r="D66" s="243"/>
      <c r="E66" s="242" t="s">
        <v>951</v>
      </c>
      <c r="F66" s="309"/>
    </row>
    <row r="67" spans="1:6" x14ac:dyDescent="0.25">
      <c r="A67" s="246" t="s">
        <v>1055</v>
      </c>
      <c r="B67" s="244">
        <v>280000</v>
      </c>
      <c r="C67" s="244"/>
      <c r="D67" s="243"/>
      <c r="E67" s="242" t="s">
        <v>951</v>
      </c>
      <c r="F67" s="309"/>
    </row>
    <row r="68" spans="1:6" x14ac:dyDescent="0.25">
      <c r="A68" s="246" t="s">
        <v>202</v>
      </c>
      <c r="B68" s="244">
        <v>280000</v>
      </c>
      <c r="C68" s="244"/>
      <c r="D68" s="243"/>
      <c r="E68" s="242" t="s">
        <v>951</v>
      </c>
      <c r="F68" s="309"/>
    </row>
    <row r="69" spans="1:6" x14ac:dyDescent="0.25">
      <c r="A69" s="246" t="s">
        <v>203</v>
      </c>
      <c r="B69" s="244">
        <v>75000</v>
      </c>
      <c r="C69" s="244"/>
      <c r="D69" s="243"/>
      <c r="E69" s="259" t="s">
        <v>957</v>
      </c>
      <c r="F69" s="309"/>
    </row>
    <row r="70" spans="1:6" x14ac:dyDescent="0.25">
      <c r="A70" s="246" t="s">
        <v>204</v>
      </c>
      <c r="B70" s="244">
        <v>75000</v>
      </c>
      <c r="C70" s="244"/>
      <c r="D70" s="243"/>
      <c r="E70" s="259" t="s">
        <v>957</v>
      </c>
      <c r="F70" s="309"/>
    </row>
    <row r="71" spans="1:6" x14ac:dyDescent="0.25">
      <c r="A71" s="246" t="s">
        <v>205</v>
      </c>
      <c r="B71" s="244">
        <v>75000</v>
      </c>
      <c r="C71" s="244"/>
      <c r="D71" s="243"/>
      <c r="E71" s="259" t="s">
        <v>957</v>
      </c>
      <c r="F71" s="309"/>
    </row>
    <row r="72" spans="1:6" x14ac:dyDescent="0.25">
      <c r="A72" s="246" t="s">
        <v>206</v>
      </c>
      <c r="B72" s="244">
        <v>75000</v>
      </c>
      <c r="C72" s="244"/>
      <c r="D72" s="243"/>
      <c r="E72" s="259" t="s">
        <v>957</v>
      </c>
      <c r="F72" s="309"/>
    </row>
    <row r="73" spans="1:6" x14ac:dyDescent="0.25">
      <c r="A73" s="246" t="s">
        <v>1054</v>
      </c>
      <c r="B73" s="244">
        <v>75000</v>
      </c>
      <c r="C73" s="244"/>
      <c r="D73" s="243"/>
      <c r="E73" s="259" t="s">
        <v>957</v>
      </c>
      <c r="F73" s="309"/>
    </row>
    <row r="74" spans="1:6" x14ac:dyDescent="0.25">
      <c r="A74" s="246" t="s">
        <v>338</v>
      </c>
      <c r="B74" s="244">
        <v>800000</v>
      </c>
      <c r="C74" s="244"/>
      <c r="D74" s="243"/>
      <c r="E74" s="259" t="s">
        <v>957</v>
      </c>
      <c r="F74" s="309"/>
    </row>
    <row r="75" spans="1:6" x14ac:dyDescent="0.25">
      <c r="A75" s="246" t="s">
        <v>208</v>
      </c>
      <c r="B75" s="244">
        <v>800000</v>
      </c>
      <c r="C75" s="244"/>
      <c r="D75" s="243"/>
      <c r="E75" s="259" t="s">
        <v>957</v>
      </c>
      <c r="F75" s="309"/>
    </row>
    <row r="76" spans="1:6" x14ac:dyDescent="0.25">
      <c r="A76" s="246" t="s">
        <v>132</v>
      </c>
      <c r="B76" s="244">
        <v>800000</v>
      </c>
      <c r="C76" s="244"/>
      <c r="D76" s="243"/>
      <c r="E76" s="259" t="s">
        <v>957</v>
      </c>
      <c r="F76" s="309"/>
    </row>
    <row r="77" spans="1:6" x14ac:dyDescent="0.25">
      <c r="A77" s="246" t="s">
        <v>212</v>
      </c>
      <c r="B77" s="244">
        <v>800000</v>
      </c>
      <c r="C77" s="244"/>
      <c r="D77" s="243"/>
      <c r="E77" s="259" t="s">
        <v>957</v>
      </c>
      <c r="F77" s="309"/>
    </row>
    <row r="78" spans="1:6" x14ac:dyDescent="0.25">
      <c r="A78" s="246" t="s">
        <v>214</v>
      </c>
      <c r="B78" s="244">
        <v>800000</v>
      </c>
      <c r="C78" s="244"/>
      <c r="D78" s="243"/>
      <c r="E78" s="259" t="s">
        <v>957</v>
      </c>
      <c r="F78" s="309"/>
    </row>
    <row r="79" spans="1:6" x14ac:dyDescent="0.25">
      <c r="A79" s="246" t="s">
        <v>133</v>
      </c>
      <c r="B79" s="244">
        <v>800000</v>
      </c>
      <c r="C79" s="244"/>
      <c r="D79" s="243"/>
      <c r="E79" s="259" t="s">
        <v>957</v>
      </c>
      <c r="F79" s="309"/>
    </row>
    <row r="80" spans="1:6" x14ac:dyDescent="0.25">
      <c r="A80" s="246" t="s">
        <v>217</v>
      </c>
      <c r="B80" s="244">
        <v>800000</v>
      </c>
      <c r="C80" s="244"/>
      <c r="D80" s="243"/>
      <c r="E80" s="259" t="s">
        <v>957</v>
      </c>
      <c r="F80" s="309"/>
    </row>
    <row r="81" spans="1:6" x14ac:dyDescent="0.25">
      <c r="A81" s="271"/>
      <c r="B81" s="262"/>
      <c r="C81" s="262"/>
      <c r="D81" s="299"/>
      <c r="E81" s="297"/>
      <c r="F81" s="309"/>
    </row>
    <row r="82" spans="1:6" x14ac:dyDescent="0.25">
      <c r="A82" s="267" t="s">
        <v>1053</v>
      </c>
      <c r="B82" s="278"/>
      <c r="C82" s="278"/>
      <c r="D82" s="299"/>
      <c r="E82" s="297"/>
      <c r="F82" s="309"/>
    </row>
    <row r="83" spans="1:6" ht="16.5" x14ac:dyDescent="0.35">
      <c r="A83" s="246"/>
      <c r="B83" s="296">
        <f>SUM(B84:B86)</f>
        <v>680000</v>
      </c>
      <c r="C83" s="296"/>
      <c r="D83" s="243"/>
      <c r="E83" s="295"/>
      <c r="F83" s="309"/>
    </row>
    <row r="84" spans="1:6" x14ac:dyDescent="0.25">
      <c r="A84" s="246" t="s">
        <v>1052</v>
      </c>
      <c r="B84" s="244">
        <v>80000</v>
      </c>
      <c r="C84" s="244"/>
      <c r="D84" s="243"/>
      <c r="E84" s="259" t="s">
        <v>957</v>
      </c>
      <c r="F84" s="309"/>
    </row>
    <row r="85" spans="1:6" x14ac:dyDescent="0.25">
      <c r="A85" s="246" t="s">
        <v>188</v>
      </c>
      <c r="B85" s="244">
        <v>300000</v>
      </c>
      <c r="C85" s="244"/>
      <c r="D85" s="243"/>
      <c r="E85" s="259" t="s">
        <v>957</v>
      </c>
      <c r="F85" s="309"/>
    </row>
    <row r="86" spans="1:6" x14ac:dyDescent="0.25">
      <c r="A86" s="246" t="s">
        <v>147</v>
      </c>
      <c r="B86" s="244">
        <v>300000</v>
      </c>
      <c r="C86" s="244"/>
      <c r="D86" s="243"/>
      <c r="E86" s="276" t="s">
        <v>957</v>
      </c>
      <c r="F86" s="309"/>
    </row>
    <row r="87" spans="1:6" x14ac:dyDescent="0.25">
      <c r="A87" s="246" t="s">
        <v>1051</v>
      </c>
      <c r="B87" s="244"/>
      <c r="C87" s="244">
        <v>50000</v>
      </c>
      <c r="D87" s="243"/>
      <c r="E87" s="259" t="s">
        <v>1050</v>
      </c>
      <c r="F87" s="147"/>
    </row>
    <row r="88" spans="1:6" x14ac:dyDescent="0.25">
      <c r="A88" s="271"/>
      <c r="B88" s="262"/>
      <c r="C88" s="262"/>
      <c r="D88" s="284"/>
      <c r="E88" s="283"/>
      <c r="F88" s="147"/>
    </row>
    <row r="89" spans="1:6" x14ac:dyDescent="0.25">
      <c r="A89" s="271"/>
      <c r="B89" s="262"/>
      <c r="C89" s="262"/>
      <c r="D89" s="284"/>
      <c r="E89" s="283"/>
      <c r="F89" s="147"/>
    </row>
    <row r="90" spans="1:6" x14ac:dyDescent="0.25">
      <c r="A90" s="271"/>
      <c r="B90" s="262"/>
      <c r="C90" s="262"/>
      <c r="D90" s="284"/>
      <c r="E90" s="283"/>
      <c r="F90" s="147"/>
    </row>
    <row r="91" spans="1:6" x14ac:dyDescent="0.25">
      <c r="A91" s="267" t="s">
        <v>1049</v>
      </c>
      <c r="B91" s="264">
        <f>B93</f>
        <v>1500000</v>
      </c>
      <c r="C91" s="262"/>
      <c r="D91" s="284"/>
      <c r="E91" s="283"/>
      <c r="F91" s="147"/>
    </row>
    <row r="92" spans="1:6" x14ac:dyDescent="0.25">
      <c r="A92" s="271"/>
      <c r="B92" s="262"/>
      <c r="C92" s="262"/>
      <c r="D92" s="284"/>
      <c r="E92" s="283"/>
      <c r="F92" s="147"/>
    </row>
    <row r="93" spans="1:6" x14ac:dyDescent="0.25">
      <c r="A93" s="244" t="s">
        <v>1048</v>
      </c>
      <c r="B93" s="244">
        <v>1500000</v>
      </c>
      <c r="C93" s="244">
        <v>0</v>
      </c>
      <c r="D93" s="247">
        <f>50000+11880</f>
        <v>61880</v>
      </c>
      <c r="E93" s="280" t="s">
        <v>972</v>
      </c>
      <c r="F93" s="147"/>
    </row>
    <row r="94" spans="1:6" x14ac:dyDescent="0.25">
      <c r="A94" s="308" t="s">
        <v>1047</v>
      </c>
      <c r="B94" s="244"/>
      <c r="C94" s="244"/>
      <c r="D94" s="247">
        <v>401142</v>
      </c>
      <c r="E94" s="280"/>
      <c r="F94" s="147"/>
    </row>
    <row r="95" spans="1:6" x14ac:dyDescent="0.25">
      <c r="A95" s="271"/>
      <c r="B95" s="262"/>
      <c r="C95" s="262"/>
      <c r="D95" s="299"/>
      <c r="E95" s="297"/>
      <c r="F95" s="147"/>
    </row>
    <row r="96" spans="1:6" x14ac:dyDescent="0.25">
      <c r="A96" s="267" t="s">
        <v>81</v>
      </c>
      <c r="B96" s="278"/>
      <c r="C96" s="278"/>
      <c r="D96" s="299"/>
      <c r="E96" s="297"/>
      <c r="F96" s="147"/>
    </row>
    <row r="97" spans="1:6" ht="16.5" x14ac:dyDescent="0.35">
      <c r="A97" s="271"/>
      <c r="B97" s="279">
        <f>SUM(B98:B111)</f>
        <v>6840000</v>
      </c>
      <c r="C97" s="279"/>
      <c r="D97" s="299"/>
      <c r="E97" s="297"/>
      <c r="F97" s="147"/>
    </row>
    <row r="98" spans="1:6" x14ac:dyDescent="0.25">
      <c r="A98" s="307" t="s">
        <v>1046</v>
      </c>
      <c r="B98" s="244">
        <v>105000</v>
      </c>
      <c r="C98" s="244">
        <v>420000</v>
      </c>
      <c r="D98" s="243">
        <v>68639</v>
      </c>
      <c r="E98" s="242" t="s">
        <v>993</v>
      </c>
      <c r="F98" s="147"/>
    </row>
    <row r="99" spans="1:6" x14ac:dyDescent="0.25">
      <c r="A99" s="305" t="s">
        <v>1045</v>
      </c>
      <c r="B99" s="244">
        <v>105000</v>
      </c>
      <c r="C99" s="244">
        <v>420000</v>
      </c>
      <c r="D99" s="243">
        <v>68639</v>
      </c>
      <c r="E99" s="242" t="s">
        <v>968</v>
      </c>
      <c r="F99" s="147"/>
    </row>
    <row r="100" spans="1:6" x14ac:dyDescent="0.25">
      <c r="A100" s="305" t="s">
        <v>1044</v>
      </c>
      <c r="B100" s="244">
        <v>105000</v>
      </c>
      <c r="C100" s="244">
        <v>420000</v>
      </c>
      <c r="D100" s="243">
        <v>69810</v>
      </c>
      <c r="E100" s="242" t="s">
        <v>968</v>
      </c>
      <c r="F100" s="147"/>
    </row>
    <row r="101" spans="1:6" x14ac:dyDescent="0.25">
      <c r="A101" s="305" t="s">
        <v>1043</v>
      </c>
      <c r="B101" s="244">
        <v>105000</v>
      </c>
      <c r="C101" s="244">
        <v>420000</v>
      </c>
      <c r="D101" s="243">
        <v>69810</v>
      </c>
      <c r="E101" s="242" t="s">
        <v>968</v>
      </c>
      <c r="F101" s="147"/>
    </row>
    <row r="102" spans="1:6" x14ac:dyDescent="0.25">
      <c r="A102" s="305" t="s">
        <v>1042</v>
      </c>
      <c r="B102" s="244">
        <v>105000</v>
      </c>
      <c r="C102" s="244">
        <v>420000</v>
      </c>
      <c r="D102" s="243">
        <v>68639</v>
      </c>
      <c r="E102" s="242" t="s">
        <v>968</v>
      </c>
      <c r="F102" s="147"/>
    </row>
    <row r="103" spans="1:6" x14ac:dyDescent="0.25">
      <c r="A103" s="305" t="s">
        <v>1041</v>
      </c>
      <c r="B103" s="244">
        <v>105000</v>
      </c>
      <c r="C103" s="244">
        <v>420000</v>
      </c>
      <c r="D103" s="243">
        <v>68639</v>
      </c>
      <c r="E103" s="242" t="s">
        <v>968</v>
      </c>
      <c r="F103" s="147"/>
    </row>
    <row r="104" spans="1:6" x14ac:dyDescent="0.25">
      <c r="A104" s="305" t="s">
        <v>1040</v>
      </c>
      <c r="B104" s="244">
        <v>105000</v>
      </c>
      <c r="C104" s="244">
        <v>420000</v>
      </c>
      <c r="D104" s="243">
        <v>69810</v>
      </c>
      <c r="E104" s="242" t="s">
        <v>968</v>
      </c>
      <c r="F104" s="147"/>
    </row>
    <row r="105" spans="1:6" x14ac:dyDescent="0.25">
      <c r="A105" s="305" t="s">
        <v>1039</v>
      </c>
      <c r="B105" s="244">
        <v>6000000</v>
      </c>
      <c r="C105" s="244"/>
      <c r="D105" s="243"/>
      <c r="E105" s="259" t="s">
        <v>957</v>
      </c>
      <c r="F105" s="147"/>
    </row>
    <row r="106" spans="1:6" x14ac:dyDescent="0.25">
      <c r="A106" s="305" t="s">
        <v>1038</v>
      </c>
      <c r="B106" s="244">
        <v>105000</v>
      </c>
      <c r="C106" s="244">
        <v>420000</v>
      </c>
      <c r="D106" s="243">
        <v>69810</v>
      </c>
      <c r="E106" s="259" t="s">
        <v>993</v>
      </c>
      <c r="F106" s="147"/>
    </row>
    <row r="107" spans="1:6" ht="24" customHeight="1" x14ac:dyDescent="0.25">
      <c r="A107" s="305" t="s">
        <v>1037</v>
      </c>
      <c r="B107" s="244"/>
      <c r="C107" s="244"/>
      <c r="D107" s="243"/>
      <c r="E107" s="258" t="s">
        <v>993</v>
      </c>
      <c r="F107" s="147"/>
    </row>
    <row r="108" spans="1:6" ht="28.5" customHeight="1" x14ac:dyDescent="0.25">
      <c r="A108" s="305" t="s">
        <v>1036</v>
      </c>
      <c r="B108" s="244" t="s">
        <v>1032</v>
      </c>
      <c r="C108" s="244"/>
      <c r="D108" s="243"/>
      <c r="E108" s="258" t="s">
        <v>993</v>
      </c>
      <c r="F108" s="147"/>
    </row>
    <row r="109" spans="1:6" ht="31.5" customHeight="1" x14ac:dyDescent="0.25">
      <c r="A109" s="305" t="s">
        <v>1035</v>
      </c>
      <c r="B109" s="244" t="s">
        <v>1032</v>
      </c>
      <c r="C109" s="244"/>
      <c r="D109" s="243"/>
      <c r="E109" s="258" t="s">
        <v>993</v>
      </c>
      <c r="F109" s="147"/>
    </row>
    <row r="110" spans="1:6" ht="36" customHeight="1" x14ac:dyDescent="0.25">
      <c r="A110" s="305" t="s">
        <v>1034</v>
      </c>
      <c r="B110" s="244"/>
      <c r="C110" s="244"/>
      <c r="D110" s="243"/>
      <c r="E110" s="258" t="s">
        <v>993</v>
      </c>
      <c r="F110" s="147"/>
    </row>
    <row r="111" spans="1:6" ht="33" customHeight="1" x14ac:dyDescent="0.25">
      <c r="A111" s="305" t="s">
        <v>1033</v>
      </c>
      <c r="B111" s="244" t="s">
        <v>1032</v>
      </c>
      <c r="C111" s="244"/>
      <c r="D111" s="243"/>
      <c r="E111" s="258" t="s">
        <v>993</v>
      </c>
      <c r="F111" s="147"/>
    </row>
    <row r="112" spans="1:6" x14ac:dyDescent="0.25">
      <c r="A112" s="305" t="s">
        <v>1031</v>
      </c>
      <c r="B112" s="244"/>
      <c r="C112" s="244"/>
      <c r="D112" s="243">
        <v>200000</v>
      </c>
      <c r="E112" s="258" t="s">
        <v>993</v>
      </c>
      <c r="F112" s="147"/>
    </row>
    <row r="113" spans="1:6" x14ac:dyDescent="0.25">
      <c r="A113" s="271"/>
      <c r="B113" s="262"/>
      <c r="C113" s="262"/>
      <c r="D113" s="299"/>
      <c r="E113" s="297"/>
      <c r="F113" s="147"/>
    </row>
    <row r="114" spans="1:6" x14ac:dyDescent="0.25">
      <c r="A114" s="267" t="s">
        <v>218</v>
      </c>
      <c r="B114" s="306"/>
      <c r="C114" s="306"/>
      <c r="D114" s="299"/>
      <c r="E114" s="297"/>
      <c r="F114" s="147"/>
    </row>
    <row r="115" spans="1:6" ht="16.5" x14ac:dyDescent="0.35">
      <c r="A115" s="147"/>
      <c r="B115" s="279">
        <f>B116+B117+B119+B120+B121+B122+B123+B124+B125+B126+B127+B128+B129+B130+B131+B132+B133</f>
        <v>12940000</v>
      </c>
      <c r="C115" s="279"/>
      <c r="D115" s="299"/>
      <c r="E115" s="297"/>
      <c r="F115" s="147"/>
    </row>
    <row r="116" spans="1:6" x14ac:dyDescent="0.25">
      <c r="A116" s="246" t="s">
        <v>1030</v>
      </c>
      <c r="B116" s="244">
        <v>500000</v>
      </c>
      <c r="C116" s="244">
        <v>2889080</v>
      </c>
      <c r="D116" s="243"/>
      <c r="E116" s="258" t="s">
        <v>957</v>
      </c>
      <c r="F116" s="147"/>
    </row>
    <row r="117" spans="1:6" x14ac:dyDescent="0.25">
      <c r="A117" s="246" t="s">
        <v>1029</v>
      </c>
      <c r="B117" s="244">
        <v>700000</v>
      </c>
      <c r="C117" s="244">
        <v>300000</v>
      </c>
      <c r="D117" s="243"/>
      <c r="E117" s="242" t="s">
        <v>968</v>
      </c>
      <c r="F117" s="147"/>
    </row>
    <row r="118" spans="1:6" x14ac:dyDescent="0.25">
      <c r="A118" s="246" t="s">
        <v>1028</v>
      </c>
      <c r="B118" s="304"/>
      <c r="C118" s="304">
        <v>5150000</v>
      </c>
      <c r="D118" s="243"/>
      <c r="E118" s="242" t="s">
        <v>944</v>
      </c>
      <c r="F118" s="147"/>
    </row>
    <row r="119" spans="1:6" ht="39.75" customHeight="1" x14ac:dyDescent="0.25">
      <c r="A119" s="305" t="s">
        <v>1027</v>
      </c>
      <c r="B119" s="304">
        <v>1600000</v>
      </c>
      <c r="C119" s="304"/>
      <c r="D119" s="243"/>
      <c r="E119" s="242" t="s">
        <v>951</v>
      </c>
      <c r="F119" s="147"/>
    </row>
    <row r="120" spans="1:6" x14ac:dyDescent="0.25">
      <c r="A120" s="303" t="s">
        <v>219</v>
      </c>
      <c r="B120" s="304">
        <v>500000</v>
      </c>
      <c r="C120" s="304"/>
      <c r="D120" s="243"/>
      <c r="E120" s="259" t="s">
        <v>957</v>
      </c>
      <c r="F120" s="147"/>
    </row>
    <row r="121" spans="1:6" x14ac:dyDescent="0.25">
      <c r="A121" s="303" t="s">
        <v>220</v>
      </c>
      <c r="B121" s="304">
        <v>500000</v>
      </c>
      <c r="C121" s="304"/>
      <c r="D121" s="243"/>
      <c r="E121" s="259" t="s">
        <v>957</v>
      </c>
      <c r="F121" s="147"/>
    </row>
    <row r="122" spans="1:6" x14ac:dyDescent="0.25">
      <c r="A122" s="303" t="s">
        <v>221</v>
      </c>
      <c r="B122" s="304">
        <v>320000</v>
      </c>
      <c r="C122" s="304"/>
      <c r="D122" s="243"/>
      <c r="E122" s="259" t="s">
        <v>957</v>
      </c>
      <c r="F122" s="147"/>
    </row>
    <row r="123" spans="1:6" x14ac:dyDescent="0.25">
      <c r="A123" s="303" t="s">
        <v>222</v>
      </c>
      <c r="B123" s="304">
        <v>320000</v>
      </c>
      <c r="C123" s="304"/>
      <c r="D123" s="243"/>
      <c r="E123" s="259" t="s">
        <v>957</v>
      </c>
      <c r="F123" s="147"/>
    </row>
    <row r="124" spans="1:6" x14ac:dyDescent="0.25">
      <c r="A124" s="303" t="s">
        <v>223</v>
      </c>
      <c r="B124" s="304">
        <v>320000</v>
      </c>
      <c r="C124" s="304"/>
      <c r="D124" s="243"/>
      <c r="E124" s="259" t="s">
        <v>957</v>
      </c>
      <c r="F124" s="147"/>
    </row>
    <row r="125" spans="1:6" x14ac:dyDescent="0.25">
      <c r="A125" s="303" t="s">
        <v>224</v>
      </c>
      <c r="B125" s="304">
        <v>320000</v>
      </c>
      <c r="C125" s="304"/>
      <c r="D125" s="243"/>
      <c r="E125" s="259" t="s">
        <v>957</v>
      </c>
      <c r="F125" s="147"/>
    </row>
    <row r="126" spans="1:6" x14ac:dyDescent="0.25">
      <c r="A126" s="303" t="s">
        <v>1026</v>
      </c>
      <c r="B126" s="304">
        <v>550000</v>
      </c>
      <c r="C126" s="304"/>
      <c r="D126" s="243"/>
      <c r="E126" s="259" t="s">
        <v>957</v>
      </c>
      <c r="F126" s="147"/>
    </row>
    <row r="127" spans="1:6" x14ac:dyDescent="0.25">
      <c r="A127" s="303" t="s">
        <v>1025</v>
      </c>
      <c r="B127" s="304">
        <v>550000</v>
      </c>
      <c r="C127" s="304"/>
      <c r="D127" s="243"/>
      <c r="E127" s="259" t="s">
        <v>957</v>
      </c>
      <c r="F127" s="147"/>
    </row>
    <row r="128" spans="1:6" x14ac:dyDescent="0.25">
      <c r="A128" s="303" t="s">
        <v>1024</v>
      </c>
      <c r="B128" s="304">
        <v>550000</v>
      </c>
      <c r="C128" s="304"/>
      <c r="D128" s="243"/>
      <c r="E128" s="259" t="s">
        <v>957</v>
      </c>
      <c r="F128" s="147"/>
    </row>
    <row r="129" spans="1:6" x14ac:dyDescent="0.25">
      <c r="A129" s="303" t="s">
        <v>1023</v>
      </c>
      <c r="B129" s="304">
        <v>550000</v>
      </c>
      <c r="C129" s="304"/>
      <c r="D129" s="243"/>
      <c r="E129" s="259" t="s">
        <v>957</v>
      </c>
      <c r="F129" s="147"/>
    </row>
    <row r="130" spans="1:6" x14ac:dyDescent="0.25">
      <c r="A130" s="303" t="s">
        <v>225</v>
      </c>
      <c r="B130" s="304">
        <v>220000</v>
      </c>
      <c r="C130" s="304"/>
      <c r="D130" s="243"/>
      <c r="E130" s="259" t="s">
        <v>957</v>
      </c>
      <c r="F130" s="147"/>
    </row>
    <row r="131" spans="1:6" x14ac:dyDescent="0.25">
      <c r="A131" s="303" t="s">
        <v>226</v>
      </c>
      <c r="B131" s="304">
        <v>220000</v>
      </c>
      <c r="C131" s="304"/>
      <c r="D131" s="243"/>
      <c r="E131" s="259" t="s">
        <v>957</v>
      </c>
      <c r="F131" s="147"/>
    </row>
    <row r="132" spans="1:6" x14ac:dyDescent="0.25">
      <c r="A132" s="303" t="s">
        <v>227</v>
      </c>
      <c r="B132" s="244">
        <v>220000</v>
      </c>
      <c r="C132" s="244"/>
      <c r="D132" s="243"/>
      <c r="E132" s="259" t="s">
        <v>957</v>
      </c>
      <c r="F132" s="147"/>
    </row>
    <row r="133" spans="1:6" x14ac:dyDescent="0.25">
      <c r="A133" s="303" t="s">
        <v>229</v>
      </c>
      <c r="B133" s="244">
        <v>5000000</v>
      </c>
      <c r="C133" s="244"/>
      <c r="D133" s="243"/>
      <c r="E133" s="259" t="s">
        <v>957</v>
      </c>
      <c r="F133" s="147"/>
    </row>
    <row r="134" spans="1:6" x14ac:dyDescent="0.25">
      <c r="A134" s="302"/>
      <c r="B134" s="262"/>
      <c r="C134" s="262"/>
      <c r="D134" s="284"/>
      <c r="E134" s="283"/>
      <c r="F134" s="147"/>
    </row>
    <row r="135" spans="1:6" x14ac:dyDescent="0.25">
      <c r="A135" s="302"/>
      <c r="B135" s="262"/>
      <c r="C135" s="262"/>
      <c r="D135" s="284"/>
      <c r="E135" s="283"/>
      <c r="F135" s="147"/>
    </row>
    <row r="136" spans="1:6" ht="16.5" x14ac:dyDescent="0.35">
      <c r="A136" s="147" t="s">
        <v>1022</v>
      </c>
      <c r="B136" s="279">
        <f>SUM(B137:B141)</f>
        <v>5000000</v>
      </c>
      <c r="C136" s="279"/>
      <c r="D136" s="299"/>
      <c r="E136" s="297"/>
      <c r="F136" s="147"/>
    </row>
    <row r="137" spans="1:6" x14ac:dyDescent="0.25">
      <c r="A137" s="246" t="s">
        <v>1021</v>
      </c>
      <c r="B137" s="244"/>
      <c r="C137" s="244">
        <v>1700000</v>
      </c>
      <c r="D137" s="243">
        <f>62625+32788</f>
        <v>95413</v>
      </c>
      <c r="E137" s="242" t="s">
        <v>993</v>
      </c>
      <c r="F137" s="147"/>
    </row>
    <row r="138" spans="1:6" x14ac:dyDescent="0.25">
      <c r="A138" s="246" t="s">
        <v>1020</v>
      </c>
      <c r="B138" s="244"/>
      <c r="C138" s="244">
        <v>350000</v>
      </c>
      <c r="D138" s="243">
        <v>258312</v>
      </c>
      <c r="E138" s="281" t="s">
        <v>1004</v>
      </c>
      <c r="F138" s="147"/>
    </row>
    <row r="139" spans="1:6" x14ac:dyDescent="0.25">
      <c r="A139" s="246" t="s">
        <v>1019</v>
      </c>
      <c r="B139" s="244"/>
      <c r="C139" s="244">
        <v>900000</v>
      </c>
      <c r="D139" s="243">
        <v>779531</v>
      </c>
      <c r="E139" s="281" t="s">
        <v>1004</v>
      </c>
      <c r="F139" s="147"/>
    </row>
    <row r="140" spans="1:6" x14ac:dyDescent="0.25">
      <c r="A140" s="246" t="s">
        <v>1018</v>
      </c>
      <c r="B140" s="244"/>
      <c r="C140" s="244">
        <v>250000</v>
      </c>
      <c r="D140" s="243">
        <v>206162</v>
      </c>
      <c r="E140" s="281" t="s">
        <v>1004</v>
      </c>
      <c r="F140" s="147"/>
    </row>
    <row r="141" spans="1:6" x14ac:dyDescent="0.25">
      <c r="A141" s="246" t="s">
        <v>231</v>
      </c>
      <c r="B141" s="244">
        <v>5000000</v>
      </c>
      <c r="C141" s="244">
        <v>1050000</v>
      </c>
      <c r="D141" s="243">
        <f>503355+271053+185592</f>
        <v>960000</v>
      </c>
      <c r="E141" s="281" t="s">
        <v>993</v>
      </c>
      <c r="F141" s="147"/>
    </row>
    <row r="142" spans="1:6" x14ac:dyDescent="0.25">
      <c r="A142" s="271"/>
      <c r="B142" s="262"/>
      <c r="C142" s="262"/>
      <c r="D142" s="284"/>
      <c r="E142" s="301"/>
      <c r="F142" s="147"/>
    </row>
    <row r="143" spans="1:6" x14ac:dyDescent="0.25">
      <c r="A143" s="271"/>
      <c r="B143" s="262"/>
      <c r="C143" s="262"/>
      <c r="D143" s="284"/>
      <c r="E143" s="301"/>
      <c r="F143" s="147"/>
    </row>
    <row r="144" spans="1:6" ht="16.5" x14ac:dyDescent="0.35">
      <c r="A144" s="267" t="s">
        <v>1017</v>
      </c>
      <c r="B144" s="300">
        <f>B146+B147+B148</f>
        <v>3650000</v>
      </c>
      <c r="C144" s="147"/>
      <c r="D144" s="13"/>
      <c r="E144" s="297"/>
      <c r="F144" s="147"/>
    </row>
    <row r="145" spans="1:6" ht="16.5" x14ac:dyDescent="0.35">
      <c r="A145" s="271"/>
      <c r="B145" s="279"/>
      <c r="C145" s="279"/>
      <c r="D145" s="299"/>
      <c r="E145" s="297"/>
      <c r="F145" s="147"/>
    </row>
    <row r="146" spans="1:6" x14ac:dyDescent="0.25">
      <c r="A146" s="295" t="s">
        <v>234</v>
      </c>
      <c r="B146" s="244">
        <v>150000</v>
      </c>
      <c r="C146" s="244"/>
      <c r="D146" s="243"/>
      <c r="E146" s="276" t="s">
        <v>957</v>
      </c>
      <c r="F146" s="147"/>
    </row>
    <row r="147" spans="1:6" x14ac:dyDescent="0.25">
      <c r="A147" s="295" t="s">
        <v>1016</v>
      </c>
      <c r="B147" s="244">
        <v>1500000</v>
      </c>
      <c r="C147" s="244">
        <v>200000</v>
      </c>
      <c r="D147" s="243"/>
      <c r="E147" s="259" t="s">
        <v>957</v>
      </c>
      <c r="F147" s="147"/>
    </row>
    <row r="148" spans="1:6" x14ac:dyDescent="0.25">
      <c r="A148" s="295" t="s">
        <v>1015</v>
      </c>
      <c r="B148" s="244">
        <v>2000000</v>
      </c>
      <c r="C148" s="244">
        <v>400000</v>
      </c>
      <c r="D148" s="243"/>
      <c r="E148" s="242" t="s">
        <v>951</v>
      </c>
      <c r="F148" s="147"/>
    </row>
    <row r="149" spans="1:6" x14ac:dyDescent="0.25">
      <c r="A149" s="246" t="s">
        <v>959</v>
      </c>
      <c r="B149" s="288"/>
      <c r="C149" s="288">
        <v>5800000</v>
      </c>
      <c r="D149" s="243">
        <f>321290+335610+1355790</f>
        <v>2012690</v>
      </c>
      <c r="E149" s="242" t="s">
        <v>972</v>
      </c>
      <c r="F149" s="147"/>
    </row>
    <row r="150" spans="1:6" x14ac:dyDescent="0.25">
      <c r="A150" s="271"/>
      <c r="B150" s="285"/>
      <c r="C150" s="285"/>
      <c r="D150" s="284"/>
      <c r="E150" s="286"/>
      <c r="F150" s="147"/>
    </row>
    <row r="151" spans="1:6" x14ac:dyDescent="0.25">
      <c r="A151" s="267" t="s">
        <v>238</v>
      </c>
      <c r="B151" s="285"/>
      <c r="C151" s="285"/>
      <c r="D151" s="284"/>
      <c r="E151" s="272"/>
      <c r="F151" s="147"/>
    </row>
    <row r="152" spans="1:6" x14ac:dyDescent="0.25">
      <c r="A152" s="298"/>
      <c r="B152" s="262"/>
      <c r="C152" s="262"/>
      <c r="D152" s="299"/>
      <c r="E152" s="297"/>
      <c r="F152" s="147"/>
    </row>
    <row r="153" spans="1:6" ht="16.5" x14ac:dyDescent="0.35">
      <c r="A153" s="298"/>
      <c r="B153" s="279">
        <f>SUM(B154:B191)</f>
        <v>53853000</v>
      </c>
      <c r="C153" s="279"/>
      <c r="D153" s="284"/>
      <c r="E153" s="297"/>
      <c r="F153" s="147"/>
    </row>
    <row r="154" spans="1:6" ht="16.5" x14ac:dyDescent="0.35">
      <c r="A154" s="246" t="s">
        <v>1014</v>
      </c>
      <c r="B154" s="296"/>
      <c r="C154" s="244">
        <v>5000000</v>
      </c>
      <c r="D154" s="243">
        <f>2289474+2289474</f>
        <v>4578948</v>
      </c>
      <c r="E154" s="295" t="s">
        <v>1004</v>
      </c>
      <c r="F154" s="147"/>
    </row>
    <row r="155" spans="1:6" x14ac:dyDescent="0.25">
      <c r="A155" s="246" t="s">
        <v>1013</v>
      </c>
      <c r="B155" s="289">
        <v>1500000</v>
      </c>
      <c r="C155" s="288"/>
      <c r="D155" s="243"/>
      <c r="E155" s="242" t="s">
        <v>1004</v>
      </c>
      <c r="F155" s="147"/>
    </row>
    <row r="156" spans="1:6" x14ac:dyDescent="0.25">
      <c r="A156" s="246" t="s">
        <v>1012</v>
      </c>
      <c r="B156" s="294">
        <v>300000</v>
      </c>
      <c r="C156" s="293"/>
      <c r="D156" s="243"/>
      <c r="E156" s="242" t="s">
        <v>957</v>
      </c>
      <c r="F156" s="147"/>
    </row>
    <row r="157" spans="1:6" x14ac:dyDescent="0.25">
      <c r="A157" s="246" t="s">
        <v>1011</v>
      </c>
      <c r="B157" s="289">
        <v>35000</v>
      </c>
      <c r="C157" s="288"/>
      <c r="D157" s="243"/>
      <c r="E157" s="242" t="s">
        <v>957</v>
      </c>
      <c r="F157" s="147"/>
    </row>
    <row r="158" spans="1:6" x14ac:dyDescent="0.25">
      <c r="A158" s="246" t="s">
        <v>1010</v>
      </c>
      <c r="B158" s="289">
        <v>6550000</v>
      </c>
      <c r="C158" s="288">
        <v>450000</v>
      </c>
      <c r="D158" s="243">
        <v>135229</v>
      </c>
      <c r="E158" s="242" t="s">
        <v>957</v>
      </c>
      <c r="F158" s="147"/>
    </row>
    <row r="159" spans="1:6" x14ac:dyDescent="0.25">
      <c r="A159" s="246" t="s">
        <v>243</v>
      </c>
      <c r="B159" s="289">
        <v>6550000</v>
      </c>
      <c r="C159" s="288">
        <v>450000</v>
      </c>
      <c r="D159" s="243"/>
      <c r="E159" s="242" t="s">
        <v>1009</v>
      </c>
      <c r="F159" s="147"/>
    </row>
    <row r="160" spans="1:6" x14ac:dyDescent="0.25">
      <c r="A160" s="246" t="s">
        <v>245</v>
      </c>
      <c r="B160" s="289">
        <v>3200000</v>
      </c>
      <c r="C160" s="288">
        <v>320000</v>
      </c>
      <c r="D160" s="247">
        <v>139693</v>
      </c>
      <c r="E160" s="242" t="s">
        <v>957</v>
      </c>
      <c r="F160" s="147"/>
    </row>
    <row r="161" spans="1:6" x14ac:dyDescent="0.25">
      <c r="A161" s="246" t="s">
        <v>1008</v>
      </c>
      <c r="B161" s="289">
        <v>6550000</v>
      </c>
      <c r="C161" s="288">
        <v>450000</v>
      </c>
      <c r="D161" s="243">
        <v>179660</v>
      </c>
      <c r="E161" s="242" t="s">
        <v>957</v>
      </c>
      <c r="F161" s="147"/>
    </row>
    <row r="162" spans="1:6" x14ac:dyDescent="0.25">
      <c r="A162" s="246" t="s">
        <v>1007</v>
      </c>
      <c r="B162" s="289">
        <v>0</v>
      </c>
      <c r="C162" s="288">
        <v>5300000</v>
      </c>
      <c r="D162" s="243">
        <f>85633+429347+998466+1007892+114658+1237170</f>
        <v>3873166</v>
      </c>
      <c r="E162" s="242" t="s">
        <v>993</v>
      </c>
      <c r="F162" s="147"/>
    </row>
    <row r="163" spans="1:6" x14ac:dyDescent="0.25">
      <c r="A163" s="246" t="s">
        <v>1006</v>
      </c>
      <c r="B163" s="147"/>
      <c r="C163" s="289">
        <v>6000000</v>
      </c>
      <c r="D163" s="247">
        <f>917830+481043+575606+1082766</f>
        <v>3057245</v>
      </c>
      <c r="E163" s="242" t="s">
        <v>993</v>
      </c>
      <c r="F163" s="147"/>
    </row>
    <row r="164" spans="1:6" x14ac:dyDescent="0.25">
      <c r="A164" s="246" t="s">
        <v>1005</v>
      </c>
      <c r="B164" s="289"/>
      <c r="C164" s="289">
        <v>700000</v>
      </c>
      <c r="D164" s="243">
        <v>611058</v>
      </c>
      <c r="E164" s="242" t="s">
        <v>1004</v>
      </c>
      <c r="F164" s="147"/>
    </row>
    <row r="165" spans="1:6" x14ac:dyDescent="0.25">
      <c r="A165" s="251" t="s">
        <v>1003</v>
      </c>
      <c r="B165" s="289">
        <v>1380000</v>
      </c>
      <c r="C165" s="289"/>
      <c r="D165" s="243"/>
      <c r="E165" s="242" t="s">
        <v>653</v>
      </c>
      <c r="F165" s="147"/>
    </row>
    <row r="166" spans="1:6" x14ac:dyDescent="0.25">
      <c r="A166" s="246" t="s">
        <v>249</v>
      </c>
      <c r="B166" s="251">
        <v>5500000</v>
      </c>
      <c r="C166" s="251"/>
      <c r="D166" s="292">
        <f>156343-67938</f>
        <v>88405</v>
      </c>
      <c r="E166" s="291" t="s">
        <v>993</v>
      </c>
      <c r="F166" s="248"/>
    </row>
    <row r="167" spans="1:6" x14ac:dyDescent="0.25">
      <c r="A167" s="246" t="s">
        <v>1002</v>
      </c>
      <c r="B167" s="289">
        <v>5500000</v>
      </c>
      <c r="C167" s="288"/>
      <c r="D167" s="243"/>
      <c r="E167" s="259" t="s">
        <v>957</v>
      </c>
      <c r="F167" s="147"/>
    </row>
    <row r="168" spans="1:6" x14ac:dyDescent="0.25">
      <c r="A168" s="246" t="s">
        <v>1001</v>
      </c>
      <c r="B168" s="289">
        <v>28000</v>
      </c>
      <c r="C168" s="288"/>
      <c r="D168" s="243"/>
      <c r="E168" s="259" t="s">
        <v>957</v>
      </c>
      <c r="F168" s="147"/>
    </row>
    <row r="169" spans="1:6" x14ac:dyDescent="0.25">
      <c r="A169" s="246" t="s">
        <v>1000</v>
      </c>
      <c r="B169" s="289"/>
      <c r="C169" s="289">
        <v>2916000</v>
      </c>
      <c r="D169" s="243">
        <f>621161+53975+320215+387198+23232</f>
        <v>1405781</v>
      </c>
      <c r="E169" s="242" t="s">
        <v>993</v>
      </c>
      <c r="F169" s="147"/>
    </row>
    <row r="170" spans="1:6" x14ac:dyDescent="0.25">
      <c r="A170" s="246" t="s">
        <v>999</v>
      </c>
      <c r="B170" s="289"/>
      <c r="C170" s="289">
        <v>2332800</v>
      </c>
      <c r="D170" s="243"/>
      <c r="E170" s="242" t="s">
        <v>944</v>
      </c>
      <c r="F170" s="147"/>
    </row>
    <row r="171" spans="1:6" x14ac:dyDescent="0.25">
      <c r="A171" s="246" t="s">
        <v>998</v>
      </c>
      <c r="B171" s="289"/>
      <c r="C171" s="289">
        <v>3337200</v>
      </c>
      <c r="D171" s="243"/>
      <c r="E171" s="242" t="s">
        <v>993</v>
      </c>
      <c r="F171" s="147"/>
    </row>
    <row r="172" spans="1:6" x14ac:dyDescent="0.25">
      <c r="A172" s="246" t="s">
        <v>252</v>
      </c>
      <c r="B172" s="289">
        <v>3000000</v>
      </c>
      <c r="C172" s="289"/>
      <c r="D172" s="243"/>
      <c r="E172" s="242" t="s">
        <v>957</v>
      </c>
      <c r="F172" s="147"/>
    </row>
    <row r="173" spans="1:6" x14ac:dyDescent="0.25">
      <c r="A173" s="246" t="s">
        <v>912</v>
      </c>
      <c r="B173" s="289">
        <v>0</v>
      </c>
      <c r="C173" s="289">
        <v>2000000</v>
      </c>
      <c r="D173" s="243"/>
      <c r="E173" s="259" t="s">
        <v>957</v>
      </c>
      <c r="F173" s="147"/>
    </row>
    <row r="174" spans="1:6" x14ac:dyDescent="0.25">
      <c r="A174" s="246" t="s">
        <v>997</v>
      </c>
      <c r="B174" s="289"/>
      <c r="C174" s="289">
        <v>4320000</v>
      </c>
      <c r="D174" s="243"/>
      <c r="E174" s="242" t="s">
        <v>996</v>
      </c>
      <c r="F174" s="147"/>
    </row>
    <row r="175" spans="1:6" x14ac:dyDescent="0.25">
      <c r="A175" s="246" t="s">
        <v>995</v>
      </c>
      <c r="B175" s="147"/>
      <c r="C175" s="289">
        <v>6156000</v>
      </c>
      <c r="D175" s="247">
        <v>128260</v>
      </c>
      <c r="E175" s="258" t="s">
        <v>993</v>
      </c>
      <c r="F175" s="147"/>
    </row>
    <row r="176" spans="1:6" x14ac:dyDescent="0.25">
      <c r="A176" s="246" t="s">
        <v>994</v>
      </c>
      <c r="B176" s="289"/>
      <c r="C176" s="288">
        <v>7623720</v>
      </c>
      <c r="D176" s="243">
        <f>918258+545974+916056+1895561</f>
        <v>4275849</v>
      </c>
      <c r="E176" s="242" t="s">
        <v>993</v>
      </c>
      <c r="F176" s="147"/>
    </row>
    <row r="177" spans="1:6" x14ac:dyDescent="0.25">
      <c r="A177" s="246" t="s">
        <v>992</v>
      </c>
      <c r="B177" s="289"/>
      <c r="C177" s="288">
        <v>2600000</v>
      </c>
      <c r="D177" s="243">
        <v>2600000</v>
      </c>
      <c r="E177" s="242" t="s">
        <v>991</v>
      </c>
      <c r="F177" s="147"/>
    </row>
    <row r="178" spans="1:6" x14ac:dyDescent="0.25">
      <c r="A178" s="246" t="s">
        <v>990</v>
      </c>
      <c r="B178" s="289">
        <v>3100000</v>
      </c>
      <c r="C178" s="288">
        <v>400000</v>
      </c>
      <c r="D178" s="243"/>
      <c r="E178" s="242" t="s">
        <v>989</v>
      </c>
      <c r="F178" s="147"/>
    </row>
    <row r="179" spans="1:6" x14ac:dyDescent="0.25">
      <c r="A179" s="246" t="s">
        <v>908</v>
      </c>
      <c r="B179" s="289">
        <v>0</v>
      </c>
      <c r="C179" s="288"/>
      <c r="D179" s="243"/>
      <c r="E179" s="242" t="s">
        <v>953</v>
      </c>
      <c r="F179" s="147"/>
    </row>
    <row r="180" spans="1:6" x14ac:dyDescent="0.25">
      <c r="A180" s="246" t="s">
        <v>988</v>
      </c>
      <c r="B180" s="289">
        <v>1200000</v>
      </c>
      <c r="C180" s="288"/>
      <c r="D180" s="243"/>
      <c r="E180" s="242" t="s">
        <v>957</v>
      </c>
      <c r="F180" s="147"/>
    </row>
    <row r="181" spans="1:6" x14ac:dyDescent="0.25">
      <c r="A181" s="246" t="s">
        <v>987</v>
      </c>
      <c r="B181" s="289">
        <v>450000</v>
      </c>
      <c r="C181" s="288"/>
      <c r="D181" s="243"/>
      <c r="E181" s="242" t="s">
        <v>937</v>
      </c>
      <c r="F181" s="147"/>
    </row>
    <row r="182" spans="1:6" x14ac:dyDescent="0.25">
      <c r="A182" s="246" t="s">
        <v>986</v>
      </c>
      <c r="B182" s="289">
        <v>450000</v>
      </c>
      <c r="C182" s="288"/>
      <c r="D182" s="243"/>
      <c r="E182" s="242" t="s">
        <v>937</v>
      </c>
      <c r="F182" s="147"/>
    </row>
    <row r="183" spans="1:6" x14ac:dyDescent="0.25">
      <c r="A183" s="288" t="s">
        <v>258</v>
      </c>
      <c r="B183" s="244">
        <v>450000</v>
      </c>
      <c r="C183" s="244"/>
      <c r="D183" s="247"/>
      <c r="E183" s="242" t="s">
        <v>937</v>
      </c>
      <c r="F183" s="147"/>
    </row>
    <row r="184" spans="1:6" x14ac:dyDescent="0.25">
      <c r="A184" s="288" t="s">
        <v>985</v>
      </c>
      <c r="B184" s="244">
        <v>220000</v>
      </c>
      <c r="C184" s="288"/>
      <c r="D184" s="290"/>
      <c r="E184" s="242" t="s">
        <v>653</v>
      </c>
      <c r="F184" s="147"/>
    </row>
    <row r="185" spans="1:6" x14ac:dyDescent="0.25">
      <c r="A185" s="288" t="s">
        <v>984</v>
      </c>
      <c r="B185" s="244">
        <v>220000</v>
      </c>
      <c r="C185" s="288"/>
      <c r="D185" s="290"/>
      <c r="E185" s="242" t="s">
        <v>937</v>
      </c>
      <c r="F185" s="147"/>
    </row>
    <row r="186" spans="1:6" x14ac:dyDescent="0.25">
      <c r="A186" s="288" t="s">
        <v>983</v>
      </c>
      <c r="B186" s="244">
        <v>220000</v>
      </c>
      <c r="C186" s="288"/>
      <c r="D186" s="290"/>
      <c r="E186" s="242" t="s">
        <v>653</v>
      </c>
      <c r="F186" s="147"/>
    </row>
    <row r="187" spans="1:6" x14ac:dyDescent="0.25">
      <c r="A187" s="288" t="s">
        <v>408</v>
      </c>
      <c r="B187" s="244">
        <v>450000</v>
      </c>
      <c r="C187" s="288"/>
      <c r="D187" s="290"/>
      <c r="E187" s="242" t="s">
        <v>937</v>
      </c>
      <c r="F187" s="147"/>
    </row>
    <row r="188" spans="1:6" x14ac:dyDescent="0.25">
      <c r="A188" s="288" t="s">
        <v>982</v>
      </c>
      <c r="B188" s="244">
        <v>7000000</v>
      </c>
      <c r="C188" s="288"/>
      <c r="D188" s="290"/>
      <c r="E188" s="242" t="s">
        <v>951</v>
      </c>
      <c r="F188" s="147"/>
    </row>
    <row r="189" spans="1:6" x14ac:dyDescent="0.25">
      <c r="A189" s="246" t="s">
        <v>981</v>
      </c>
      <c r="B189" s="244">
        <v>0</v>
      </c>
      <c r="C189" s="288">
        <v>610137.13</v>
      </c>
      <c r="D189" s="290"/>
      <c r="E189" s="242" t="s">
        <v>944</v>
      </c>
      <c r="F189" s="147"/>
    </row>
    <row r="190" spans="1:6" x14ac:dyDescent="0.25">
      <c r="A190" s="246" t="s">
        <v>980</v>
      </c>
      <c r="B190" s="289"/>
      <c r="C190" s="288">
        <v>365523</v>
      </c>
      <c r="D190" s="243"/>
      <c r="E190" s="242" t="s">
        <v>944</v>
      </c>
      <c r="F190" s="147"/>
    </row>
    <row r="191" spans="1:6" x14ac:dyDescent="0.25">
      <c r="A191" s="288" t="s">
        <v>979</v>
      </c>
      <c r="B191" s="244"/>
      <c r="C191" s="244">
        <v>6048000</v>
      </c>
      <c r="D191" s="247">
        <f>61930+1023077</f>
        <v>1085007</v>
      </c>
      <c r="E191" s="242" t="s">
        <v>944</v>
      </c>
      <c r="F191" s="147"/>
    </row>
    <row r="192" spans="1:6" x14ac:dyDescent="0.25">
      <c r="A192" s="285"/>
      <c r="B192" s="262"/>
      <c r="C192" s="262"/>
      <c r="D192" s="287"/>
      <c r="E192" s="286"/>
      <c r="F192" s="147"/>
    </row>
    <row r="193" spans="1:6" x14ac:dyDescent="0.25">
      <c r="A193" s="267" t="s">
        <v>978</v>
      </c>
      <c r="B193" s="285"/>
      <c r="C193" s="285"/>
      <c r="D193" s="284"/>
      <c r="E193" s="283"/>
      <c r="F193" s="147"/>
    </row>
    <row r="194" spans="1:6" ht="16.5" x14ac:dyDescent="0.35">
      <c r="A194" s="271"/>
      <c r="B194" s="282">
        <f>SUM(B195:B197)</f>
        <v>670000</v>
      </c>
      <c r="C194" s="278"/>
      <c r="D194" s="277"/>
      <c r="E194" s="239"/>
      <c r="F194" s="147"/>
    </row>
    <row r="195" spans="1:6" x14ac:dyDescent="0.25">
      <c r="A195" s="242" t="s">
        <v>977</v>
      </c>
      <c r="B195" s="280">
        <v>20000</v>
      </c>
      <c r="C195" s="244"/>
      <c r="D195" s="260"/>
      <c r="E195" s="281" t="s">
        <v>704</v>
      </c>
      <c r="F195" s="147"/>
    </row>
    <row r="196" spans="1:6" x14ac:dyDescent="0.25">
      <c r="A196" s="242" t="s">
        <v>976</v>
      </c>
      <c r="B196" s="280">
        <v>300000</v>
      </c>
      <c r="C196" s="244"/>
      <c r="D196" s="260">
        <v>68282</v>
      </c>
      <c r="E196" s="281" t="s">
        <v>947</v>
      </c>
      <c r="F196" s="147"/>
    </row>
    <row r="197" spans="1:6" x14ac:dyDescent="0.25">
      <c r="A197" s="242" t="s">
        <v>975</v>
      </c>
      <c r="B197" s="280">
        <v>350000</v>
      </c>
      <c r="C197" s="244"/>
      <c r="D197" s="260"/>
      <c r="E197" s="242" t="s">
        <v>653</v>
      </c>
      <c r="F197" s="147"/>
    </row>
    <row r="198" spans="1:6" x14ac:dyDescent="0.25">
      <c r="A198" s="271"/>
      <c r="B198" s="274"/>
      <c r="C198" s="275"/>
      <c r="D198" s="260"/>
      <c r="E198" s="246"/>
      <c r="F198" s="147"/>
    </row>
    <row r="199" spans="1:6" x14ac:dyDescent="0.25">
      <c r="A199" s="267" t="s">
        <v>974</v>
      </c>
      <c r="B199" s="262"/>
      <c r="C199" s="262"/>
      <c r="D199" s="261"/>
      <c r="E199" s="272"/>
      <c r="F199" s="147"/>
    </row>
    <row r="200" spans="1:6" x14ac:dyDescent="0.25">
      <c r="A200" s="271"/>
      <c r="B200" s="278"/>
      <c r="C200" s="278"/>
      <c r="D200" s="277"/>
      <c r="E200" s="239"/>
      <c r="F200" s="147"/>
    </row>
    <row r="201" spans="1:6" ht="16.5" x14ac:dyDescent="0.35">
      <c r="A201" s="147"/>
      <c r="B201" s="279">
        <f>SUM(B203:B206)</f>
        <v>5526472</v>
      </c>
      <c r="C201" s="279"/>
      <c r="D201" s="277"/>
      <c r="E201" s="239"/>
      <c r="F201" s="147"/>
    </row>
    <row r="202" spans="1:6" x14ac:dyDescent="0.25">
      <c r="A202" s="147"/>
      <c r="B202" s="278"/>
      <c r="C202" s="278"/>
      <c r="D202" s="277"/>
      <c r="E202" s="239"/>
      <c r="F202" s="147"/>
    </row>
    <row r="203" spans="1:6" x14ac:dyDescent="0.25">
      <c r="A203" s="242" t="s">
        <v>973</v>
      </c>
      <c r="B203" s="274">
        <v>5326472</v>
      </c>
      <c r="C203" s="275"/>
      <c r="D203" s="260">
        <f>264611+525464</f>
        <v>790075</v>
      </c>
      <c r="E203" s="276" t="s">
        <v>972</v>
      </c>
      <c r="F203" s="147"/>
    </row>
    <row r="204" spans="1:6" x14ac:dyDescent="0.25">
      <c r="A204" s="242" t="s">
        <v>971</v>
      </c>
      <c r="B204" s="274">
        <v>200000</v>
      </c>
      <c r="C204" s="275"/>
      <c r="D204" s="260"/>
      <c r="E204" s="276" t="s">
        <v>970</v>
      </c>
      <c r="F204" s="147"/>
    </row>
    <row r="205" spans="1:6" x14ac:dyDescent="0.25">
      <c r="A205" s="242" t="s">
        <v>969</v>
      </c>
      <c r="B205" s="275"/>
      <c r="C205" s="274">
        <v>1000000</v>
      </c>
      <c r="D205" s="260"/>
      <c r="E205" s="258" t="s">
        <v>968</v>
      </c>
      <c r="F205" s="147"/>
    </row>
    <row r="206" spans="1:6" x14ac:dyDescent="0.25">
      <c r="A206" s="246"/>
      <c r="B206" s="244"/>
      <c r="C206" s="246"/>
      <c r="D206" s="247"/>
      <c r="E206" s="246"/>
      <c r="F206" s="147"/>
    </row>
    <row r="207" spans="1:6" x14ac:dyDescent="0.25">
      <c r="A207" s="271"/>
      <c r="B207" s="273"/>
      <c r="C207" s="273"/>
      <c r="D207" s="261"/>
      <c r="E207" s="272"/>
      <c r="F207" s="147"/>
    </row>
    <row r="208" spans="1:6" ht="16.5" x14ac:dyDescent="0.35">
      <c r="A208" s="271"/>
      <c r="B208" s="270">
        <f>B7+B16+B23+B30+B38+B55+B60+B83+B91+B97+B115+B136+B144+B153+B194+B201</f>
        <v>112535472</v>
      </c>
      <c r="C208" s="270">
        <f>SUM(C8:C207)</f>
        <v>91979253.199999988</v>
      </c>
      <c r="D208" s="269">
        <f>SUM(D5:D207)</f>
        <v>39135349</v>
      </c>
      <c r="E208" s="268">
        <f>D208/B208*100</f>
        <v>34.776011780534411</v>
      </c>
      <c r="F208" s="147"/>
    </row>
    <row r="209" spans="1:6" ht="16.5" x14ac:dyDescent="0.35">
      <c r="A209" s="267" t="s">
        <v>967</v>
      </c>
      <c r="B209" s="262"/>
      <c r="C209" s="262"/>
      <c r="D209" s="266"/>
      <c r="E209" s="239"/>
      <c r="F209" s="147"/>
    </row>
    <row r="210" spans="1:6" x14ac:dyDescent="0.25">
      <c r="A210" s="147"/>
      <c r="B210" s="262"/>
      <c r="C210" s="262"/>
      <c r="D210" s="261"/>
      <c r="E210" s="265"/>
      <c r="F210" s="147"/>
    </row>
    <row r="211" spans="1:6" x14ac:dyDescent="0.25">
      <c r="A211" s="147"/>
      <c r="B211" s="264">
        <f>SUM(B212:B242)</f>
        <v>53440000</v>
      </c>
      <c r="C211" s="264">
        <f>SUM(C212:C242)</f>
        <v>14316360.469999999</v>
      </c>
      <c r="D211" s="263">
        <f>SUM(D212:D242)</f>
        <v>10986419</v>
      </c>
      <c r="E211" s="241">
        <f>D211/67756360*100</f>
        <v>16.214594467589464</v>
      </c>
      <c r="F211" s="147"/>
    </row>
    <row r="212" spans="1:6" x14ac:dyDescent="0.25">
      <c r="A212" s="246" t="s">
        <v>966</v>
      </c>
      <c r="B212" s="245">
        <v>8965000</v>
      </c>
      <c r="C212" s="244">
        <v>478582.5</v>
      </c>
      <c r="D212" s="260">
        <v>241633</v>
      </c>
      <c r="E212" s="242" t="s">
        <v>953</v>
      </c>
      <c r="F212" s="147"/>
    </row>
    <row r="213" spans="1:6" x14ac:dyDescent="0.25">
      <c r="A213" s="246" t="s">
        <v>265</v>
      </c>
      <c r="B213" s="245">
        <v>5400000</v>
      </c>
      <c r="C213" s="244">
        <v>441000</v>
      </c>
      <c r="D213" s="260"/>
      <c r="E213" s="242" t="s">
        <v>953</v>
      </c>
      <c r="F213" s="147"/>
    </row>
    <row r="214" spans="1:6" x14ac:dyDescent="0.25">
      <c r="A214" s="246" t="s">
        <v>965</v>
      </c>
      <c r="B214" s="245">
        <v>1500000</v>
      </c>
      <c r="C214" s="262">
        <f>359129.08+3176324.94</f>
        <v>3535454.02</v>
      </c>
      <c r="D214" s="261">
        <f>477253+849012+335287-17339</f>
        <v>1644213</v>
      </c>
      <c r="E214" s="242" t="s">
        <v>947</v>
      </c>
      <c r="F214" s="147"/>
    </row>
    <row r="215" spans="1:6" x14ac:dyDescent="0.25">
      <c r="A215" s="246" t="s">
        <v>964</v>
      </c>
      <c r="B215" s="245">
        <v>3600000</v>
      </c>
      <c r="C215" s="244">
        <v>315789.46999999997</v>
      </c>
      <c r="D215" s="260"/>
      <c r="E215" s="242" t="s">
        <v>953</v>
      </c>
      <c r="F215" s="147"/>
    </row>
    <row r="216" spans="1:6" x14ac:dyDescent="0.25">
      <c r="A216" s="246" t="s">
        <v>963</v>
      </c>
      <c r="B216" s="245">
        <v>5950000</v>
      </c>
      <c r="C216" s="244">
        <v>364423.05</v>
      </c>
      <c r="D216" s="260"/>
      <c r="E216" s="242" t="s">
        <v>947</v>
      </c>
      <c r="F216" s="147"/>
    </row>
    <row r="217" spans="1:6" x14ac:dyDescent="0.25">
      <c r="A217" s="246" t="s">
        <v>962</v>
      </c>
      <c r="B217" s="245"/>
      <c r="C217" s="244">
        <f>57940.07+389823.23</f>
        <v>447763.3</v>
      </c>
      <c r="D217" s="257">
        <f>389823+44013</f>
        <v>433836</v>
      </c>
      <c r="E217" s="242" t="s">
        <v>944</v>
      </c>
      <c r="F217" s="147"/>
    </row>
    <row r="218" spans="1:6" x14ac:dyDescent="0.25">
      <c r="A218" s="246" t="s">
        <v>961</v>
      </c>
      <c r="B218" s="245">
        <v>5950000</v>
      </c>
      <c r="C218" s="244">
        <v>248111.11</v>
      </c>
      <c r="D218" s="257"/>
      <c r="E218" s="242" t="s">
        <v>953</v>
      </c>
      <c r="F218" s="147"/>
    </row>
    <row r="219" spans="1:6" x14ac:dyDescent="0.25">
      <c r="A219" s="246" t="s">
        <v>960</v>
      </c>
      <c r="B219" s="245"/>
      <c r="C219" s="244">
        <v>70230.460000000006</v>
      </c>
      <c r="D219" s="247"/>
      <c r="E219" s="242" t="s">
        <v>944</v>
      </c>
      <c r="F219" s="147"/>
    </row>
    <row r="220" spans="1:6" x14ac:dyDescent="0.25">
      <c r="A220" s="246" t="s">
        <v>959</v>
      </c>
      <c r="B220" s="245"/>
      <c r="C220" s="244">
        <v>74448.75</v>
      </c>
      <c r="D220" s="247"/>
      <c r="E220" s="242" t="s">
        <v>953</v>
      </c>
      <c r="F220" s="147"/>
    </row>
    <row r="221" spans="1:6" x14ac:dyDescent="0.25">
      <c r="A221" s="246" t="s">
        <v>958</v>
      </c>
      <c r="B221" s="245"/>
      <c r="C221" s="244"/>
      <c r="D221" s="257"/>
      <c r="E221" s="259" t="s">
        <v>957</v>
      </c>
      <c r="F221" s="147"/>
    </row>
    <row r="222" spans="1:6" x14ac:dyDescent="0.25">
      <c r="A222" s="246" t="s">
        <v>956</v>
      </c>
      <c r="B222" s="245">
        <v>2000000</v>
      </c>
      <c r="C222" s="244">
        <v>1415620.36</v>
      </c>
      <c r="D222" s="257">
        <f>1087684+366576+361858+23478</f>
        <v>1839596</v>
      </c>
      <c r="E222" s="242" t="s">
        <v>947</v>
      </c>
      <c r="F222" s="147"/>
    </row>
    <row r="223" spans="1:6" x14ac:dyDescent="0.25">
      <c r="A223" s="246" t="s">
        <v>955</v>
      </c>
      <c r="B223" s="245">
        <v>1000000</v>
      </c>
      <c r="C223" s="244">
        <f>53468.51+3093687.83</f>
        <v>3147156.34</v>
      </c>
      <c r="D223" s="257">
        <f>657888+73099+1368390+465660+51740</f>
        <v>2616777</v>
      </c>
      <c r="E223" s="242" t="s">
        <v>947</v>
      </c>
      <c r="F223" s="147"/>
    </row>
    <row r="224" spans="1:6" x14ac:dyDescent="0.25">
      <c r="A224" s="246" t="s">
        <v>954</v>
      </c>
      <c r="B224" s="245">
        <v>5600000</v>
      </c>
      <c r="C224" s="244">
        <v>400000</v>
      </c>
      <c r="D224" s="257"/>
      <c r="E224" s="242" t="s">
        <v>953</v>
      </c>
      <c r="F224" s="147"/>
    </row>
    <row r="225" spans="1:6" x14ac:dyDescent="0.25">
      <c r="A225" s="246" t="s">
        <v>275</v>
      </c>
      <c r="B225" s="245">
        <v>2100000</v>
      </c>
      <c r="C225" s="244">
        <v>221000</v>
      </c>
      <c r="D225" s="257">
        <v>132600</v>
      </c>
      <c r="E225" s="242" t="s">
        <v>953</v>
      </c>
      <c r="F225" s="147"/>
    </row>
    <row r="226" spans="1:6" x14ac:dyDescent="0.25">
      <c r="A226" s="246" t="s">
        <v>277</v>
      </c>
      <c r="B226" s="245">
        <v>2100000</v>
      </c>
      <c r="C226" s="244">
        <v>237271.19</v>
      </c>
      <c r="D226" s="257">
        <v>142363</v>
      </c>
      <c r="E226" s="242" t="s">
        <v>953</v>
      </c>
      <c r="F226" s="147"/>
    </row>
    <row r="227" spans="1:6" x14ac:dyDescent="0.25">
      <c r="A227" s="246" t="s">
        <v>952</v>
      </c>
      <c r="B227" s="245">
        <v>375000</v>
      </c>
      <c r="C227" s="244"/>
      <c r="D227" s="257"/>
      <c r="E227" s="242" t="s">
        <v>951</v>
      </c>
      <c r="F227" s="147"/>
    </row>
    <row r="228" spans="1:6" x14ac:dyDescent="0.25">
      <c r="A228" s="246" t="s">
        <v>279</v>
      </c>
      <c r="B228" s="245">
        <v>3600000</v>
      </c>
      <c r="C228" s="244"/>
      <c r="D228" s="257">
        <f>827871+898773</f>
        <v>1726644</v>
      </c>
      <c r="E228" s="258" t="s">
        <v>947</v>
      </c>
      <c r="F228" s="147"/>
    </row>
    <row r="229" spans="1:6" x14ac:dyDescent="0.25">
      <c r="A229" s="246" t="s">
        <v>950</v>
      </c>
      <c r="B229" s="245"/>
      <c r="C229" s="244"/>
      <c r="D229" s="257"/>
      <c r="E229" s="242"/>
      <c r="F229" s="147"/>
    </row>
    <row r="230" spans="1:6" x14ac:dyDescent="0.25">
      <c r="A230" s="246" t="s">
        <v>949</v>
      </c>
      <c r="B230" s="245"/>
      <c r="C230" s="244">
        <v>504564.62</v>
      </c>
      <c r="D230" s="257"/>
      <c r="E230" s="242" t="s">
        <v>944</v>
      </c>
      <c r="F230" s="147"/>
    </row>
    <row r="231" spans="1:6" x14ac:dyDescent="0.25">
      <c r="A231" s="246" t="s">
        <v>948</v>
      </c>
      <c r="B231" s="245">
        <v>1700000</v>
      </c>
      <c r="C231" s="244">
        <v>2414945.2999999998</v>
      </c>
      <c r="D231" s="257">
        <f>1955540+180401+72816</f>
        <v>2208757</v>
      </c>
      <c r="E231" s="242" t="s">
        <v>947</v>
      </c>
      <c r="F231" s="147"/>
    </row>
    <row r="232" spans="1:6" x14ac:dyDescent="0.25">
      <c r="A232" s="246" t="s">
        <v>946</v>
      </c>
      <c r="B232" s="245"/>
      <c r="C232" s="244"/>
      <c r="D232" s="247"/>
      <c r="E232" s="242" t="s">
        <v>944</v>
      </c>
      <c r="F232" s="147"/>
    </row>
    <row r="233" spans="1:6" x14ac:dyDescent="0.25">
      <c r="A233" s="246" t="s">
        <v>945</v>
      </c>
      <c r="B233" s="245"/>
      <c r="C233" s="244"/>
      <c r="D233" s="247"/>
      <c r="E233" s="242" t="s">
        <v>944</v>
      </c>
      <c r="F233" s="147"/>
    </row>
    <row r="234" spans="1:6" x14ac:dyDescent="0.25">
      <c r="A234" s="256" t="s">
        <v>280</v>
      </c>
      <c r="B234" s="255">
        <v>400000</v>
      </c>
      <c r="C234" s="254"/>
      <c r="D234" s="253"/>
      <c r="E234" s="242" t="s">
        <v>943</v>
      </c>
      <c r="F234" s="147"/>
    </row>
    <row r="235" spans="1:6" x14ac:dyDescent="0.25">
      <c r="A235" s="246" t="s">
        <v>281</v>
      </c>
      <c r="B235" s="245">
        <v>400000</v>
      </c>
      <c r="C235" s="244"/>
      <c r="D235" s="247"/>
      <c r="E235" s="242" t="s">
        <v>943</v>
      </c>
      <c r="F235" s="252"/>
    </row>
    <row r="236" spans="1:6" x14ac:dyDescent="0.25">
      <c r="A236" s="246" t="s">
        <v>942</v>
      </c>
      <c r="B236" s="245">
        <v>400000</v>
      </c>
      <c r="C236" s="244"/>
      <c r="D236" s="247"/>
      <c r="E236" s="242" t="s">
        <v>937</v>
      </c>
      <c r="F236" s="147"/>
    </row>
    <row r="237" spans="1:6" x14ac:dyDescent="0.25">
      <c r="A237" s="246" t="s">
        <v>941</v>
      </c>
      <c r="B237" s="245">
        <v>400000</v>
      </c>
      <c r="C237" s="244"/>
      <c r="D237" s="247"/>
      <c r="E237" s="242" t="s">
        <v>937</v>
      </c>
      <c r="F237" s="147"/>
    </row>
    <row r="238" spans="1:6" x14ac:dyDescent="0.25">
      <c r="A238" s="251" t="s">
        <v>940</v>
      </c>
      <c r="B238" s="245">
        <v>400000</v>
      </c>
      <c r="C238" s="250"/>
      <c r="D238" s="249"/>
      <c r="E238" s="242" t="s">
        <v>937</v>
      </c>
      <c r="F238" s="147"/>
    </row>
    <row r="239" spans="1:6" x14ac:dyDescent="0.25">
      <c r="A239" s="246" t="s">
        <v>939</v>
      </c>
      <c r="B239" s="245">
        <v>400000</v>
      </c>
      <c r="C239" s="244"/>
      <c r="D239" s="247"/>
      <c r="E239" s="242" t="s">
        <v>937</v>
      </c>
      <c r="F239" s="248"/>
    </row>
    <row r="240" spans="1:6" x14ac:dyDescent="0.25">
      <c r="A240" s="246" t="s">
        <v>938</v>
      </c>
      <c r="B240" s="245">
        <v>400000</v>
      </c>
      <c r="C240" s="244"/>
      <c r="D240" s="247"/>
      <c r="E240" s="242" t="s">
        <v>937</v>
      </c>
      <c r="F240" s="147"/>
    </row>
    <row r="241" spans="1:6" x14ac:dyDescent="0.25">
      <c r="A241" s="246" t="s">
        <v>287</v>
      </c>
      <c r="B241" s="245">
        <v>400000</v>
      </c>
      <c r="C241" s="244"/>
      <c r="D241" s="247"/>
      <c r="E241" s="242" t="s">
        <v>937</v>
      </c>
      <c r="F241" s="147"/>
    </row>
    <row r="242" spans="1:6" x14ac:dyDescent="0.25">
      <c r="A242" s="246" t="s">
        <v>288</v>
      </c>
      <c r="B242" s="245">
        <v>400000</v>
      </c>
      <c r="C242" s="244"/>
      <c r="D242" s="243"/>
      <c r="E242" s="242" t="s">
        <v>937</v>
      </c>
      <c r="F242" s="147"/>
    </row>
    <row r="243" spans="1:6" x14ac:dyDescent="0.25">
      <c r="A243" s="147"/>
      <c r="B243" s="147"/>
      <c r="C243" s="147"/>
      <c r="D243" s="240"/>
      <c r="E243" s="239"/>
      <c r="F243" s="147"/>
    </row>
    <row r="244" spans="1:6" ht="21.75" customHeight="1" x14ac:dyDescent="0.25">
      <c r="A244" s="485"/>
      <c r="B244" s="486">
        <f>SUM(B208+B211)</f>
        <v>165975472</v>
      </c>
      <c r="C244" s="486">
        <f>C208+C211</f>
        <v>106295613.66999999</v>
      </c>
      <c r="D244" s="487">
        <f>D208+D211</f>
        <v>50121768</v>
      </c>
      <c r="E244" s="488">
        <f>E208+E211</f>
        <v>50.990606248123875</v>
      </c>
      <c r="F244" s="147"/>
    </row>
    <row r="245" spans="1:6" s="23" customFormat="1" ht="25.5" customHeight="1" x14ac:dyDescent="0.25">
      <c r="A245" s="594" t="s">
        <v>1418</v>
      </c>
      <c r="B245" s="595"/>
      <c r="C245" s="595"/>
      <c r="D245" s="595"/>
      <c r="E245" s="595"/>
      <c r="F245" s="147"/>
    </row>
    <row r="246" spans="1:6" ht="143.25" customHeight="1" x14ac:dyDescent="0.3">
      <c r="A246" s="593" t="s">
        <v>1437</v>
      </c>
      <c r="B246" s="593"/>
      <c r="C246" s="593"/>
      <c r="D246" s="593"/>
      <c r="E246" s="593"/>
      <c r="F246" s="147"/>
    </row>
  </sheetData>
  <mergeCells count="2">
    <mergeCell ref="A246:E246"/>
    <mergeCell ref="A245:E245"/>
  </mergeCells>
  <pageMargins left="0.70866141732283505" right="0.70866141732283505" top="0.74803149606299202" bottom="0.74803149606299202" header="0.31496062992126" footer="0.31496062992126"/>
  <pageSetup paperSize="9" scale="81"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view="pageBreakPreview" topLeftCell="A67" zoomScale="90" zoomScaleNormal="100" zoomScaleSheetLayoutView="90" workbookViewId="0">
      <selection activeCell="I65" sqref="I65"/>
    </sheetView>
  </sheetViews>
  <sheetFormatPr defaultRowHeight="15" x14ac:dyDescent="0.25"/>
  <cols>
    <col min="2" max="2" width="18.28515625" customWidth="1"/>
    <col min="3" max="3" width="21" customWidth="1"/>
    <col min="4" max="4" width="17.85546875" customWidth="1"/>
    <col min="5" max="5" width="18" customWidth="1"/>
    <col min="6" max="6" width="11.140625" customWidth="1"/>
  </cols>
  <sheetData>
    <row r="1" spans="1:6" ht="15.75" x14ac:dyDescent="0.25">
      <c r="A1" s="332" t="s">
        <v>635</v>
      </c>
      <c r="B1" s="332"/>
      <c r="C1" s="23"/>
      <c r="D1" s="23"/>
      <c r="E1" s="23"/>
      <c r="F1" s="23"/>
    </row>
    <row r="2" spans="1:6" ht="15.75" x14ac:dyDescent="0.25">
      <c r="A2" s="332"/>
      <c r="B2" s="332"/>
      <c r="C2" s="23"/>
      <c r="D2" s="23"/>
      <c r="E2" s="23"/>
      <c r="F2" s="23"/>
    </row>
    <row r="3" spans="1:6" x14ac:dyDescent="0.25">
      <c r="A3" s="333" t="s">
        <v>1103</v>
      </c>
      <c r="B3" s="333"/>
      <c r="C3" s="23"/>
      <c r="D3" s="23"/>
      <c r="E3" s="23"/>
      <c r="F3" s="23"/>
    </row>
    <row r="4" spans="1:6" x14ac:dyDescent="0.25">
      <c r="A4" s="333"/>
      <c r="B4" s="333"/>
      <c r="C4" s="23"/>
      <c r="D4" s="23"/>
      <c r="E4" s="23"/>
      <c r="F4" s="23"/>
    </row>
    <row r="5" spans="1:6" x14ac:dyDescent="0.25">
      <c r="A5" s="334" t="s">
        <v>1104</v>
      </c>
      <c r="B5" s="334" t="s">
        <v>1105</v>
      </c>
      <c r="C5" s="334" t="s">
        <v>1106</v>
      </c>
      <c r="D5" s="335" t="s">
        <v>1107</v>
      </c>
      <c r="E5" s="334" t="s">
        <v>1108</v>
      </c>
      <c r="F5" s="336" t="s">
        <v>1109</v>
      </c>
    </row>
    <row r="6" spans="1:6" x14ac:dyDescent="0.25">
      <c r="A6" s="337" t="s">
        <v>1110</v>
      </c>
      <c r="B6" s="338" t="s">
        <v>1111</v>
      </c>
      <c r="C6" s="338" t="s">
        <v>1112</v>
      </c>
      <c r="D6" s="339">
        <v>940699</v>
      </c>
      <c r="E6" s="340">
        <v>557451</v>
      </c>
      <c r="F6" s="341">
        <f>E6/D6*100</f>
        <v>59.259231698981282</v>
      </c>
    </row>
    <row r="7" spans="1:6" x14ac:dyDescent="0.25">
      <c r="A7" s="342"/>
      <c r="B7" s="342"/>
      <c r="C7" s="342"/>
      <c r="D7" s="23"/>
      <c r="E7" s="343"/>
      <c r="F7" s="342"/>
    </row>
    <row r="8" spans="1:6" x14ac:dyDescent="0.25">
      <c r="A8" s="344" t="s">
        <v>1113</v>
      </c>
      <c r="B8" s="345" t="s">
        <v>1114</v>
      </c>
      <c r="C8" s="345" t="s">
        <v>1112</v>
      </c>
      <c r="D8" s="339">
        <v>1012209</v>
      </c>
      <c r="E8" s="346">
        <v>291356</v>
      </c>
      <c r="F8" s="341">
        <f>E8/D8*100</f>
        <v>28.784174019397181</v>
      </c>
    </row>
    <row r="9" spans="1:6" x14ac:dyDescent="0.25">
      <c r="A9" s="29"/>
      <c r="B9" s="29"/>
      <c r="C9" s="23"/>
      <c r="D9" s="23"/>
      <c r="E9" s="23"/>
      <c r="F9" s="23"/>
    </row>
    <row r="10" spans="1:6" x14ac:dyDescent="0.25">
      <c r="A10" s="344" t="s">
        <v>1115</v>
      </c>
      <c r="B10" s="345" t="s">
        <v>1116</v>
      </c>
      <c r="C10" s="345" t="s">
        <v>1112</v>
      </c>
      <c r="D10" s="339">
        <v>415125</v>
      </c>
      <c r="E10" s="346">
        <v>157058</v>
      </c>
      <c r="F10" s="341">
        <f>E10/D10*100</f>
        <v>37.833905450165609</v>
      </c>
    </row>
    <row r="11" spans="1:6" x14ac:dyDescent="0.25">
      <c r="A11" s="29"/>
      <c r="B11" s="29"/>
      <c r="C11" s="23"/>
      <c r="D11" s="23"/>
      <c r="E11" s="23"/>
      <c r="F11" s="23"/>
    </row>
    <row r="12" spans="1:6" x14ac:dyDescent="0.25">
      <c r="A12" s="344" t="s">
        <v>1117</v>
      </c>
      <c r="B12" s="345" t="s">
        <v>305</v>
      </c>
      <c r="C12" s="345" t="s">
        <v>1118</v>
      </c>
      <c r="D12" s="339">
        <v>10763261</v>
      </c>
      <c r="E12" s="346">
        <v>3369159</v>
      </c>
      <c r="F12" s="341">
        <f>E12/D12*100</f>
        <v>31.302399895347705</v>
      </c>
    </row>
    <row r="13" spans="1:6" x14ac:dyDescent="0.25">
      <c r="A13" s="29"/>
      <c r="B13" s="29"/>
      <c r="C13" s="23"/>
      <c r="D13" s="23"/>
      <c r="E13" s="23"/>
      <c r="F13" s="23"/>
    </row>
    <row r="14" spans="1:6" ht="12.75" customHeight="1" x14ac:dyDescent="0.25">
      <c r="A14" s="23"/>
      <c r="B14" s="23"/>
      <c r="C14" s="23"/>
      <c r="D14" s="23"/>
      <c r="E14" s="23"/>
      <c r="F14" s="23"/>
    </row>
    <row r="15" spans="1:6" hidden="1" x14ac:dyDescent="0.25">
      <c r="A15" s="347"/>
      <c r="B15" s="29"/>
      <c r="C15" s="23"/>
      <c r="D15" s="23"/>
      <c r="E15" s="23"/>
      <c r="F15" s="23"/>
    </row>
    <row r="16" spans="1:6" ht="31.5" customHeight="1" x14ac:dyDescent="0.25">
      <c r="A16" s="344" t="s">
        <v>1119</v>
      </c>
      <c r="B16" s="348" t="s">
        <v>1120</v>
      </c>
      <c r="C16" s="345" t="s">
        <v>1112</v>
      </c>
      <c r="D16" s="339">
        <v>11615940</v>
      </c>
      <c r="E16" s="346">
        <v>4478953</v>
      </c>
      <c r="F16" s="349">
        <f>E16/D16*100</f>
        <v>38.558678849925187</v>
      </c>
    </row>
    <row r="17" spans="1:6" x14ac:dyDescent="0.25">
      <c r="A17" s="29"/>
      <c r="B17" s="29"/>
      <c r="C17" s="23"/>
      <c r="D17" s="23"/>
      <c r="E17" s="23"/>
      <c r="F17" s="23"/>
    </row>
    <row r="18" spans="1:6" x14ac:dyDescent="0.25">
      <c r="A18" s="29"/>
      <c r="B18" s="29"/>
      <c r="C18" s="23"/>
      <c r="D18" s="23"/>
      <c r="E18" s="23"/>
      <c r="F18" s="23"/>
    </row>
    <row r="19" spans="1:6" x14ac:dyDescent="0.25">
      <c r="A19" s="337" t="s">
        <v>1121</v>
      </c>
      <c r="B19" s="338" t="s">
        <v>238</v>
      </c>
      <c r="C19" s="345" t="s">
        <v>1122</v>
      </c>
      <c r="D19" s="339">
        <v>13136818</v>
      </c>
      <c r="E19" s="346">
        <v>4884590</v>
      </c>
      <c r="F19" s="341">
        <f>E19/D19*100</f>
        <v>37.182444028683356</v>
      </c>
    </row>
    <row r="20" spans="1:6" x14ac:dyDescent="0.25">
      <c r="A20" s="342"/>
      <c r="B20" s="342"/>
      <c r="C20" s="23"/>
      <c r="D20" s="23"/>
      <c r="E20" s="23"/>
      <c r="F20" s="23"/>
    </row>
    <row r="21" spans="1:6" x14ac:dyDescent="0.25">
      <c r="A21" s="344" t="s">
        <v>1123</v>
      </c>
      <c r="B21" s="345" t="s">
        <v>1124</v>
      </c>
      <c r="C21" s="345" t="s">
        <v>1112</v>
      </c>
      <c r="D21" s="339">
        <v>418416</v>
      </c>
      <c r="E21" s="339">
        <v>0</v>
      </c>
      <c r="F21" s="341">
        <f>E21/D21*100</f>
        <v>0</v>
      </c>
    </row>
    <row r="22" spans="1:6" x14ac:dyDescent="0.25">
      <c r="A22" s="29" t="s">
        <v>1125</v>
      </c>
      <c r="B22" s="29"/>
      <c r="C22" s="23"/>
      <c r="D22" s="23"/>
      <c r="E22" s="23"/>
      <c r="F22" s="23"/>
    </row>
    <row r="23" spans="1:6" x14ac:dyDescent="0.25">
      <c r="A23" s="29"/>
      <c r="B23" s="29"/>
      <c r="C23" s="23"/>
      <c r="D23" s="23"/>
      <c r="E23" s="23"/>
      <c r="F23" s="23"/>
    </row>
    <row r="24" spans="1:6" x14ac:dyDescent="0.25">
      <c r="A24" s="344" t="s">
        <v>1126</v>
      </c>
      <c r="B24" s="345" t="s">
        <v>1127</v>
      </c>
      <c r="C24" s="345" t="s">
        <v>1118</v>
      </c>
      <c r="D24" s="339">
        <v>573596</v>
      </c>
      <c r="E24" s="346">
        <v>252905</v>
      </c>
      <c r="F24" s="341">
        <f>E24/D24*100</f>
        <v>44.091137316159809</v>
      </c>
    </row>
    <row r="25" spans="1:6" x14ac:dyDescent="0.25">
      <c r="A25" s="23"/>
      <c r="B25" s="23"/>
      <c r="C25" s="23"/>
      <c r="D25" s="23"/>
      <c r="E25" s="350"/>
      <c r="F25" s="29"/>
    </row>
    <row r="26" spans="1:6" x14ac:dyDescent="0.25">
      <c r="A26" s="344" t="s">
        <v>1128</v>
      </c>
      <c r="B26" s="345" t="s">
        <v>218</v>
      </c>
      <c r="C26" s="345" t="s">
        <v>1112</v>
      </c>
      <c r="D26" s="339">
        <v>8905577</v>
      </c>
      <c r="E26" s="346">
        <v>2920600</v>
      </c>
      <c r="F26" s="341">
        <f>E26/D26*100</f>
        <v>32.795179919279796</v>
      </c>
    </row>
    <row r="27" spans="1:6" x14ac:dyDescent="0.25">
      <c r="A27" s="351"/>
      <c r="B27" s="29"/>
      <c r="C27" s="23"/>
      <c r="D27" s="23"/>
      <c r="E27" s="23"/>
      <c r="F27" s="23"/>
    </row>
    <row r="28" spans="1:6" x14ac:dyDescent="0.25">
      <c r="A28" s="23"/>
      <c r="B28" s="23"/>
      <c r="C28" s="23"/>
      <c r="D28" s="23"/>
      <c r="E28" s="23"/>
      <c r="F28" s="23"/>
    </row>
    <row r="29" spans="1:6" x14ac:dyDescent="0.25">
      <c r="A29" s="344" t="s">
        <v>1129</v>
      </c>
      <c r="B29" s="345" t="s">
        <v>1130</v>
      </c>
      <c r="C29" s="345" t="s">
        <v>1112</v>
      </c>
      <c r="D29" s="339">
        <v>604481</v>
      </c>
      <c r="E29" s="346">
        <v>241608</v>
      </c>
      <c r="F29" s="341">
        <f>E29/D29*100</f>
        <v>39.969494491969144</v>
      </c>
    </row>
    <row r="30" spans="1:6" x14ac:dyDescent="0.25">
      <c r="A30" s="29"/>
      <c r="B30" s="29"/>
      <c r="C30" s="23"/>
      <c r="D30" s="23"/>
      <c r="E30" s="23"/>
      <c r="F30" s="23"/>
    </row>
    <row r="31" spans="1:6" x14ac:dyDescent="0.25">
      <c r="A31" s="23"/>
      <c r="B31" s="23"/>
      <c r="C31" s="23"/>
      <c r="D31" s="23"/>
      <c r="E31" s="23"/>
      <c r="F31" s="23"/>
    </row>
    <row r="32" spans="1:6" ht="35.25" customHeight="1" x14ac:dyDescent="0.25">
      <c r="A32" s="344" t="s">
        <v>1131</v>
      </c>
      <c r="B32" s="348" t="s">
        <v>1132</v>
      </c>
      <c r="C32" s="345" t="s">
        <v>1112</v>
      </c>
      <c r="D32" s="339">
        <v>335491</v>
      </c>
      <c r="E32" s="346">
        <v>134653</v>
      </c>
      <c r="F32" s="341">
        <f>E32/D32*100</f>
        <v>40.136099030972517</v>
      </c>
    </row>
    <row r="33" spans="1:6" x14ac:dyDescent="0.25">
      <c r="A33" s="309"/>
      <c r="B33" s="29"/>
      <c r="C33" s="29"/>
      <c r="D33" s="23"/>
      <c r="E33" s="350"/>
      <c r="F33" s="29"/>
    </row>
    <row r="34" spans="1:6" x14ac:dyDescent="0.25">
      <c r="A34" s="29"/>
      <c r="B34" s="29"/>
      <c r="C34" s="29"/>
      <c r="D34" s="23"/>
      <c r="E34" s="350"/>
      <c r="F34" s="29"/>
    </row>
    <row r="35" spans="1:6" x14ac:dyDescent="0.25">
      <c r="A35" s="344" t="s">
        <v>1133</v>
      </c>
      <c r="B35" s="345" t="s">
        <v>1134</v>
      </c>
      <c r="C35" s="345" t="s">
        <v>1135</v>
      </c>
      <c r="D35" s="339">
        <v>3697677</v>
      </c>
      <c r="E35" s="346">
        <v>946113</v>
      </c>
      <c r="F35" s="341">
        <f>E35/D35*100</f>
        <v>25.586685911181533</v>
      </c>
    </row>
    <row r="36" spans="1:6" x14ac:dyDescent="0.25">
      <c r="A36" s="29"/>
      <c r="B36" s="29"/>
      <c r="C36" s="23"/>
      <c r="D36" s="352"/>
      <c r="E36" s="23"/>
      <c r="F36" s="23"/>
    </row>
    <row r="37" spans="1:6" x14ac:dyDescent="0.25">
      <c r="A37" s="29"/>
      <c r="B37" s="29"/>
      <c r="C37" s="23"/>
      <c r="D37" s="23"/>
      <c r="E37" s="23"/>
      <c r="F37" s="23"/>
    </row>
    <row r="38" spans="1:6" x14ac:dyDescent="0.25">
      <c r="A38" s="344" t="s">
        <v>1136</v>
      </c>
      <c r="B38" s="345" t="s">
        <v>1137</v>
      </c>
      <c r="C38" s="345" t="s">
        <v>1135</v>
      </c>
      <c r="D38" s="335">
        <v>34011145</v>
      </c>
      <c r="E38" s="346">
        <v>13674639</v>
      </c>
      <c r="F38" s="341">
        <f>E38/D38*100</f>
        <v>40.206347066527755</v>
      </c>
    </row>
    <row r="39" spans="1:6" x14ac:dyDescent="0.25">
      <c r="A39" s="347"/>
      <c r="B39" s="29"/>
      <c r="C39" s="29"/>
      <c r="D39" s="23"/>
      <c r="E39" s="350"/>
      <c r="F39" s="353"/>
    </row>
    <row r="40" spans="1:6" ht="30" x14ac:dyDescent="0.25">
      <c r="A40" s="344" t="s">
        <v>1138</v>
      </c>
      <c r="B40" s="348" t="s">
        <v>1139</v>
      </c>
      <c r="C40" s="345" t="s">
        <v>1140</v>
      </c>
      <c r="D40" s="339">
        <v>11365671</v>
      </c>
      <c r="E40" s="346">
        <v>5100737</v>
      </c>
      <c r="F40" s="341">
        <f>E40/D40*100</f>
        <v>44.878450203248008</v>
      </c>
    </row>
    <row r="41" spans="1:6" x14ac:dyDescent="0.25">
      <c r="A41" s="347"/>
      <c r="B41" s="29"/>
      <c r="C41" s="29"/>
      <c r="D41" s="23"/>
      <c r="E41" s="350"/>
      <c r="F41" s="353"/>
    </row>
    <row r="42" spans="1:6" x14ac:dyDescent="0.25">
      <c r="A42" s="344" t="s">
        <v>1141</v>
      </c>
      <c r="B42" s="345" t="s">
        <v>1142</v>
      </c>
      <c r="C42" s="345" t="s">
        <v>1112</v>
      </c>
      <c r="D42" s="339">
        <v>5447043</v>
      </c>
      <c r="E42" s="346">
        <v>1820069</v>
      </c>
      <c r="F42" s="341">
        <f>E42/D42*100</f>
        <v>33.413890802771341</v>
      </c>
    </row>
    <row r="43" spans="1:6" x14ac:dyDescent="0.25">
      <c r="A43" s="309"/>
      <c r="B43" s="29"/>
      <c r="C43" s="29"/>
      <c r="D43" s="23"/>
      <c r="E43" s="350"/>
      <c r="F43" s="29"/>
    </row>
    <row r="44" spans="1:6" x14ac:dyDescent="0.25">
      <c r="A44" s="337" t="s">
        <v>1143</v>
      </c>
      <c r="B44" s="338" t="s">
        <v>1144</v>
      </c>
      <c r="C44" s="338" t="s">
        <v>1122</v>
      </c>
      <c r="D44" s="335">
        <v>0</v>
      </c>
      <c r="E44" s="354">
        <v>0</v>
      </c>
      <c r="F44" s="341">
        <v>0</v>
      </c>
    </row>
    <row r="45" spans="1:6" x14ac:dyDescent="0.25">
      <c r="A45" s="342"/>
      <c r="B45" s="342"/>
      <c r="C45" s="342"/>
      <c r="D45" s="23"/>
      <c r="E45" s="343"/>
      <c r="F45" s="342"/>
    </row>
    <row r="46" spans="1:6" x14ac:dyDescent="0.25">
      <c r="A46" s="344" t="s">
        <v>1145</v>
      </c>
      <c r="B46" s="345" t="s">
        <v>1146</v>
      </c>
      <c r="C46" s="345" t="s">
        <v>1135</v>
      </c>
      <c r="D46" s="339">
        <v>5474789</v>
      </c>
      <c r="E46" s="346">
        <v>2039276</v>
      </c>
      <c r="F46" s="341">
        <f>E46/D46*100</f>
        <v>37.248485740729002</v>
      </c>
    </row>
    <row r="47" spans="1:6" x14ac:dyDescent="0.25">
      <c r="A47" s="29"/>
      <c r="B47" s="29"/>
      <c r="C47" s="29"/>
      <c r="D47" s="23"/>
      <c r="E47" s="350"/>
      <c r="F47" s="29"/>
    </row>
    <row r="48" spans="1:6" x14ac:dyDescent="0.25">
      <c r="A48" s="344" t="s">
        <v>1147</v>
      </c>
      <c r="B48" s="345" t="s">
        <v>1148</v>
      </c>
      <c r="C48" s="345" t="s">
        <v>1149</v>
      </c>
      <c r="D48" s="335">
        <v>7277528</v>
      </c>
      <c r="E48" s="346">
        <v>3180593</v>
      </c>
      <c r="F48" s="341">
        <f>E48/D48*100</f>
        <v>43.704304538574085</v>
      </c>
    </row>
    <row r="49" spans="1:6" x14ac:dyDescent="0.25">
      <c r="A49" s="29"/>
      <c r="B49" s="29"/>
      <c r="C49" s="29"/>
      <c r="D49" s="23"/>
      <c r="E49" s="350"/>
      <c r="F49" s="29"/>
    </row>
    <row r="50" spans="1:6" ht="30" x14ac:dyDescent="0.25">
      <c r="A50" s="344" t="s">
        <v>1150</v>
      </c>
      <c r="B50" s="348" t="s">
        <v>1151</v>
      </c>
      <c r="C50" s="345" t="s">
        <v>1152</v>
      </c>
      <c r="D50" s="335">
        <v>18832010</v>
      </c>
      <c r="E50" s="346">
        <v>7700473</v>
      </c>
      <c r="F50" s="341">
        <f>E50/D50*100</f>
        <v>40.890340436310304</v>
      </c>
    </row>
    <row r="51" spans="1:6" x14ac:dyDescent="0.25">
      <c r="A51" s="347"/>
      <c r="B51" s="29"/>
      <c r="C51" s="29"/>
      <c r="D51" s="23"/>
      <c r="E51" s="350"/>
      <c r="F51" s="353"/>
    </row>
    <row r="52" spans="1:6" x14ac:dyDescent="0.25">
      <c r="A52" s="337" t="s">
        <v>1153</v>
      </c>
      <c r="B52" s="338" t="s">
        <v>81</v>
      </c>
      <c r="C52" s="338" t="s">
        <v>1122</v>
      </c>
      <c r="D52" s="335">
        <v>496908</v>
      </c>
      <c r="E52" s="340">
        <v>164826</v>
      </c>
      <c r="F52" s="341">
        <f>E52/D52*100</f>
        <v>33.170325291603277</v>
      </c>
    </row>
    <row r="53" spans="1:6" x14ac:dyDescent="0.25">
      <c r="A53" s="342"/>
      <c r="B53" s="342"/>
      <c r="C53" s="342"/>
      <c r="D53" s="23"/>
      <c r="E53" s="343"/>
      <c r="F53" s="342"/>
    </row>
    <row r="54" spans="1:6" x14ac:dyDescent="0.25">
      <c r="A54" s="29"/>
      <c r="B54" s="29"/>
      <c r="C54" s="29"/>
      <c r="D54" s="23"/>
      <c r="E54" s="350"/>
      <c r="F54" s="29"/>
    </row>
    <row r="55" spans="1:6" x14ac:dyDescent="0.25">
      <c r="A55" s="344" t="s">
        <v>1154</v>
      </c>
      <c r="B55" s="345" t="s">
        <v>50</v>
      </c>
      <c r="C55" s="345" t="s">
        <v>1122</v>
      </c>
      <c r="D55" s="339">
        <v>9548214</v>
      </c>
      <c r="E55" s="346">
        <v>3463642</v>
      </c>
      <c r="F55" s="341">
        <f>E55/D55*100</f>
        <v>36.27528666617652</v>
      </c>
    </row>
    <row r="56" spans="1:6" x14ac:dyDescent="0.25">
      <c r="A56" s="347"/>
      <c r="B56" s="29"/>
      <c r="C56" s="29"/>
      <c r="D56" s="23"/>
      <c r="E56" s="350"/>
      <c r="F56" s="353"/>
    </row>
    <row r="57" spans="1:6" x14ac:dyDescent="0.25">
      <c r="A57" s="29"/>
      <c r="B57" s="29"/>
      <c r="C57" s="29"/>
      <c r="D57" s="23"/>
      <c r="E57" s="350"/>
      <c r="F57" s="29"/>
    </row>
    <row r="58" spans="1:6" x14ac:dyDescent="0.25">
      <c r="A58" s="344" t="s">
        <v>1155</v>
      </c>
      <c r="B58" s="338" t="s">
        <v>1156</v>
      </c>
      <c r="C58" s="338" t="s">
        <v>1122</v>
      </c>
      <c r="D58" s="339">
        <v>984836</v>
      </c>
      <c r="E58" s="340">
        <v>421317</v>
      </c>
      <c r="F58" s="341">
        <f>E58/D58*100</f>
        <v>42.780422324123002</v>
      </c>
    </row>
    <row r="59" spans="1:6" x14ac:dyDescent="0.25">
      <c r="A59" s="29"/>
      <c r="B59" s="342"/>
      <c r="C59" s="342"/>
      <c r="D59" s="23"/>
      <c r="E59" s="343"/>
      <c r="F59" s="342"/>
    </row>
    <row r="60" spans="1:6" x14ac:dyDescent="0.25">
      <c r="A60" s="29"/>
      <c r="B60" s="29"/>
      <c r="C60" s="29"/>
      <c r="D60" s="335"/>
      <c r="E60" s="350"/>
      <c r="F60" s="29"/>
    </row>
    <row r="61" spans="1:6" x14ac:dyDescent="0.25">
      <c r="A61" s="344" t="s">
        <v>1157</v>
      </c>
      <c r="B61" s="345" t="s">
        <v>1158</v>
      </c>
      <c r="C61" s="345" t="s">
        <v>1159</v>
      </c>
      <c r="D61" s="335">
        <v>0</v>
      </c>
      <c r="E61" s="339">
        <v>0</v>
      </c>
      <c r="F61" s="341">
        <v>0</v>
      </c>
    </row>
    <row r="62" spans="1:6" x14ac:dyDescent="0.25">
      <c r="A62" s="347"/>
      <c r="B62" s="29"/>
      <c r="C62" s="29"/>
      <c r="D62" s="23"/>
      <c r="E62" s="350"/>
      <c r="F62" s="353"/>
    </row>
    <row r="63" spans="1:6" x14ac:dyDescent="0.25">
      <c r="A63" s="344" t="s">
        <v>1160</v>
      </c>
      <c r="B63" s="345" t="s">
        <v>1161</v>
      </c>
      <c r="C63" s="345" t="s">
        <v>1159</v>
      </c>
      <c r="D63" s="339">
        <v>18293314</v>
      </c>
      <c r="E63" s="346">
        <v>6554001</v>
      </c>
      <c r="F63" s="341">
        <f>E63/D63*100</f>
        <v>35.827302805822939</v>
      </c>
    </row>
    <row r="64" spans="1:6" x14ac:dyDescent="0.25">
      <c r="A64" s="309"/>
      <c r="B64" s="29"/>
      <c r="C64" s="29"/>
      <c r="D64" s="23"/>
      <c r="E64" s="350"/>
      <c r="F64" s="29"/>
    </row>
    <row r="65" spans="1:6" x14ac:dyDescent="0.25">
      <c r="A65" s="344" t="s">
        <v>1162</v>
      </c>
      <c r="B65" s="345" t="s">
        <v>1163</v>
      </c>
      <c r="C65" s="345" t="s">
        <v>1159</v>
      </c>
      <c r="D65" s="335">
        <v>0</v>
      </c>
      <c r="E65" s="339">
        <v>0</v>
      </c>
      <c r="F65" s="341">
        <v>0</v>
      </c>
    </row>
    <row r="66" spans="1:6" x14ac:dyDescent="0.25">
      <c r="A66" s="309"/>
      <c r="B66" s="29"/>
      <c r="C66" s="29"/>
      <c r="D66" s="23"/>
      <c r="E66" s="350"/>
      <c r="F66" s="29"/>
    </row>
    <row r="67" spans="1:6" x14ac:dyDescent="0.25">
      <c r="A67" s="334"/>
      <c r="B67" s="334" t="s">
        <v>1164</v>
      </c>
      <c r="C67" s="334"/>
      <c r="D67" s="355">
        <f>SUM(D6:D66)</f>
        <v>164150748</v>
      </c>
      <c r="E67" s="355">
        <f>SUM(E5:E66)</f>
        <v>62354019</v>
      </c>
      <c r="F67" s="341">
        <f>E67/D67*100</f>
        <v>37.985826905887755</v>
      </c>
    </row>
    <row r="68" spans="1:6" x14ac:dyDescent="0.25">
      <c r="A68" s="23"/>
      <c r="B68" s="23"/>
      <c r="C68" s="23"/>
      <c r="D68" s="23"/>
      <c r="E68" s="23"/>
      <c r="F68" s="23"/>
    </row>
    <row r="69" spans="1:6" x14ac:dyDescent="0.25">
      <c r="A69" s="333" t="s">
        <v>1165</v>
      </c>
      <c r="B69" s="333"/>
      <c r="C69" s="23"/>
      <c r="D69" s="23"/>
      <c r="E69" s="23"/>
      <c r="F69" s="23"/>
    </row>
    <row r="70" spans="1:6" x14ac:dyDescent="0.25">
      <c r="A70" s="356"/>
      <c r="B70" s="345" t="s">
        <v>1107</v>
      </c>
      <c r="C70" s="345" t="s">
        <v>1166</v>
      </c>
      <c r="D70" s="357" t="s">
        <v>1109</v>
      </c>
      <c r="E70" s="23"/>
      <c r="F70" s="23"/>
    </row>
    <row r="71" spans="1:6" x14ac:dyDescent="0.25">
      <c r="A71" s="345"/>
      <c r="B71" s="358">
        <v>165975472</v>
      </c>
      <c r="C71" s="359">
        <f>'Capital Projects'!D208+'Capital Projects'!D211</f>
        <v>50121768</v>
      </c>
      <c r="D71" s="360">
        <f>C71/B71*100</f>
        <v>30.198298216015917</v>
      </c>
      <c r="E71" s="23"/>
      <c r="F71" s="23"/>
    </row>
    <row r="72" spans="1:6" x14ac:dyDescent="0.25">
      <c r="A72" s="23"/>
      <c r="B72" s="23"/>
      <c r="C72" s="23"/>
      <c r="D72" s="23"/>
      <c r="E72" s="23"/>
      <c r="F72" s="23"/>
    </row>
    <row r="73" spans="1:6" x14ac:dyDescent="0.25">
      <c r="A73" s="333" t="s">
        <v>1167</v>
      </c>
      <c r="B73" s="23"/>
      <c r="C73" s="23"/>
      <c r="D73" s="23"/>
      <c r="E73" s="23"/>
      <c r="F73" s="23"/>
    </row>
    <row r="74" spans="1:6" x14ac:dyDescent="0.25">
      <c r="A74" s="356"/>
      <c r="B74" s="345" t="s">
        <v>1107</v>
      </c>
      <c r="C74" s="345" t="s">
        <v>1166</v>
      </c>
      <c r="D74" s="357" t="s">
        <v>1109</v>
      </c>
      <c r="E74" s="23"/>
      <c r="F74" s="23"/>
    </row>
    <row r="75" spans="1:6" x14ac:dyDescent="0.25">
      <c r="A75" s="345"/>
      <c r="B75" s="361">
        <f>D67</f>
        <v>164150748</v>
      </c>
      <c r="C75" s="362">
        <f>E67</f>
        <v>62354019</v>
      </c>
      <c r="D75" s="360">
        <f>C75/B75*100</f>
        <v>37.985826905887755</v>
      </c>
      <c r="E75" s="23"/>
      <c r="F75" s="23"/>
    </row>
    <row r="76" spans="1:6" x14ac:dyDescent="0.25">
      <c r="A76" s="23"/>
      <c r="B76" s="23"/>
      <c r="C76" s="23"/>
      <c r="D76" s="23"/>
      <c r="E76" s="23"/>
      <c r="F76" s="23"/>
    </row>
    <row r="77" spans="1:6" x14ac:dyDescent="0.25">
      <c r="A77" s="333" t="s">
        <v>1168</v>
      </c>
      <c r="B77" s="333"/>
      <c r="C77" s="23"/>
      <c r="D77" s="23"/>
      <c r="E77" s="23"/>
      <c r="F77" s="23"/>
    </row>
    <row r="78" spans="1:6" x14ac:dyDescent="0.25">
      <c r="A78" s="356"/>
      <c r="B78" s="345" t="s">
        <v>1107</v>
      </c>
      <c r="C78" s="345" t="s">
        <v>1166</v>
      </c>
      <c r="D78" s="357" t="s">
        <v>1109</v>
      </c>
      <c r="E78" s="23"/>
      <c r="F78" s="23"/>
    </row>
    <row r="79" spans="1:6" x14ac:dyDescent="0.25">
      <c r="A79" s="345"/>
      <c r="B79" s="358">
        <f>B71+B75</f>
        <v>330126220</v>
      </c>
      <c r="C79" s="359">
        <f>C71+C75</f>
        <v>112475787</v>
      </c>
      <c r="D79" s="360">
        <f>C79/B79*100</f>
        <v>34.070540352717209</v>
      </c>
      <c r="E79" s="23"/>
      <c r="F79" s="23"/>
    </row>
    <row r="80" spans="1:6" x14ac:dyDescent="0.25">
      <c r="A80" s="23"/>
      <c r="B80" s="23"/>
      <c r="C80" s="23"/>
      <c r="D80" s="23"/>
      <c r="E80" s="23"/>
      <c r="F80" s="23"/>
    </row>
    <row r="81" spans="1:7" s="23" customFormat="1" x14ac:dyDescent="0.25">
      <c r="A81" s="597" t="s">
        <v>1419</v>
      </c>
      <c r="B81" s="598"/>
      <c r="C81" s="598"/>
      <c r="D81" s="598"/>
      <c r="E81" s="598"/>
      <c r="F81" s="598"/>
      <c r="G81" s="598"/>
    </row>
    <row r="82" spans="1:7" ht="46.5" customHeight="1" x14ac:dyDescent="0.25">
      <c r="A82" s="596" t="s">
        <v>1420</v>
      </c>
      <c r="B82" s="596"/>
      <c r="C82" s="596"/>
      <c r="D82" s="596"/>
      <c r="E82" s="596"/>
      <c r="F82" s="596"/>
      <c r="G82" s="596"/>
    </row>
  </sheetData>
  <mergeCells count="2">
    <mergeCell ref="A82:G82"/>
    <mergeCell ref="A81:G81"/>
  </mergeCells>
  <pageMargins left="0.70866141732283505" right="0.70866141732283505" top="0.74803149606299202" bottom="0.74803149606299202" header="0.31496062992126" footer="0.31496062992126"/>
  <pageSetup paperSize="9" scale="83" orientation="portrait"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view="pageBreakPreview" topLeftCell="A37" zoomScale="90" zoomScaleNormal="100" zoomScaleSheetLayoutView="90" workbookViewId="0">
      <selection activeCell="I55" sqref="I55"/>
    </sheetView>
  </sheetViews>
  <sheetFormatPr defaultRowHeight="15" x14ac:dyDescent="0.25"/>
  <cols>
    <col min="1" max="1" width="34.42578125" customWidth="1"/>
    <col min="2" max="2" width="16.140625" customWidth="1"/>
    <col min="3" max="3" width="19" customWidth="1"/>
    <col min="4" max="4" width="18.140625" customWidth="1"/>
  </cols>
  <sheetData>
    <row r="1" spans="1:6" ht="18.75" x14ac:dyDescent="0.3">
      <c r="A1" s="363" t="s">
        <v>1169</v>
      </c>
      <c r="B1" s="23"/>
      <c r="C1" s="23"/>
      <c r="D1" s="23"/>
      <c r="E1" s="364"/>
      <c r="F1" s="23"/>
    </row>
    <row r="2" spans="1:6" x14ac:dyDescent="0.25">
      <c r="A2" s="23"/>
      <c r="B2" s="23"/>
      <c r="C2" s="23"/>
      <c r="D2" s="23"/>
      <c r="E2" s="364"/>
      <c r="F2" s="23"/>
    </row>
    <row r="3" spans="1:6" ht="15.75" x14ac:dyDescent="0.25">
      <c r="A3" s="365" t="s">
        <v>1170</v>
      </c>
      <c r="B3" s="23"/>
      <c r="C3" s="23"/>
      <c r="D3" s="364"/>
      <c r="E3" s="364"/>
      <c r="F3" s="23"/>
    </row>
    <row r="4" spans="1:6" x14ac:dyDescent="0.25">
      <c r="A4" s="23"/>
      <c r="B4" s="23"/>
      <c r="C4" s="23"/>
      <c r="D4" s="364"/>
      <c r="E4" s="364"/>
      <c r="F4" s="23"/>
    </row>
    <row r="5" spans="1:6" x14ac:dyDescent="0.25">
      <c r="A5" s="23" t="s">
        <v>1171</v>
      </c>
      <c r="B5" s="23"/>
      <c r="C5" s="23"/>
      <c r="D5" s="364"/>
      <c r="E5" s="364"/>
      <c r="F5" s="23"/>
    </row>
    <row r="6" spans="1:6" x14ac:dyDescent="0.25">
      <c r="A6" s="334" t="s">
        <v>1172</v>
      </c>
      <c r="B6" s="336" t="s">
        <v>1107</v>
      </c>
      <c r="C6" s="336" t="s">
        <v>1173</v>
      </c>
      <c r="D6" s="366" t="s">
        <v>1174</v>
      </c>
      <c r="E6" s="367" t="s">
        <v>1109</v>
      </c>
      <c r="F6" s="23"/>
    </row>
    <row r="7" spans="1:6" x14ac:dyDescent="0.25">
      <c r="A7" s="345" t="s">
        <v>1175</v>
      </c>
      <c r="B7" s="346">
        <v>6355008</v>
      </c>
      <c r="C7" s="346">
        <f>753068+735810+710216+735973+679489+813106</f>
        <v>4427662</v>
      </c>
      <c r="D7" s="346">
        <f>828721+533135+309903+391997+292979+1193504</f>
        <v>3550239</v>
      </c>
      <c r="E7" s="364">
        <f>C7/B7*100</f>
        <v>69.672013001399847</v>
      </c>
      <c r="F7" s="23"/>
    </row>
    <row r="8" spans="1:6" x14ac:dyDescent="0.25">
      <c r="A8" s="345" t="s">
        <v>1176</v>
      </c>
      <c r="B8" s="368">
        <v>171845000</v>
      </c>
      <c r="C8" s="346"/>
      <c r="D8" s="346">
        <f>66337000+1600000+692000+934000</f>
        <v>69563000</v>
      </c>
      <c r="E8" s="364">
        <f>D8/B8*100</f>
        <v>40.480083796444468</v>
      </c>
      <c r="F8" s="23"/>
    </row>
    <row r="9" spans="1:6" x14ac:dyDescent="0.25">
      <c r="A9" s="345" t="s">
        <v>1161</v>
      </c>
      <c r="B9" s="368">
        <v>15906477</v>
      </c>
      <c r="C9" s="346">
        <f>1155743+1233612+1132508+1191319+975252+819702</f>
        <v>6508136</v>
      </c>
      <c r="D9" s="346">
        <f>668193+788063+663816+702321+310967+866515</f>
        <v>3999875</v>
      </c>
      <c r="E9" s="364">
        <f>C9/B9*100</f>
        <v>40.915005880937684</v>
      </c>
      <c r="F9" s="23"/>
    </row>
    <row r="10" spans="1:6" x14ac:dyDescent="0.25">
      <c r="A10" s="345" t="s">
        <v>1142</v>
      </c>
      <c r="B10" s="368">
        <v>4092948</v>
      </c>
      <c r="C10" s="346">
        <f>299935+296628+301349+297896+294680+293290</f>
        <v>1783778</v>
      </c>
      <c r="D10" s="346">
        <f>98571+144774+113290+95717+53656+110017</f>
        <v>616025</v>
      </c>
      <c r="E10" s="364">
        <f>C10/B10*100</f>
        <v>43.581741082466721</v>
      </c>
      <c r="F10" s="23"/>
    </row>
    <row r="11" spans="1:6" x14ac:dyDescent="0.25">
      <c r="A11" s="345" t="s">
        <v>1177</v>
      </c>
      <c r="B11" s="368">
        <v>336654</v>
      </c>
      <c r="C11" s="346"/>
      <c r="D11" s="346">
        <v>47330</v>
      </c>
      <c r="E11" s="364">
        <f t="shared" ref="E11:E19" si="0">D11/B11*100</f>
        <v>14.058944791982272</v>
      </c>
      <c r="F11" s="23"/>
    </row>
    <row r="12" spans="1:6" x14ac:dyDescent="0.25">
      <c r="A12" s="345" t="s">
        <v>1178</v>
      </c>
      <c r="B12" s="368">
        <v>1738494</v>
      </c>
      <c r="C12" s="346"/>
      <c r="D12" s="346">
        <v>893595</v>
      </c>
      <c r="E12" s="364">
        <f t="shared" si="0"/>
        <v>51.400522521216644</v>
      </c>
      <c r="F12" s="23"/>
    </row>
    <row r="13" spans="1:6" x14ac:dyDescent="0.25">
      <c r="A13" s="345" t="s">
        <v>1179</v>
      </c>
      <c r="B13" s="368">
        <v>5607360</v>
      </c>
      <c r="C13" s="346"/>
      <c r="D13" s="346">
        <v>1329592</v>
      </c>
      <c r="E13" s="364">
        <f t="shared" si="0"/>
        <v>23.711550533584433</v>
      </c>
      <c r="F13" s="23"/>
    </row>
    <row r="14" spans="1:6" x14ac:dyDescent="0.25">
      <c r="A14" s="345" t="s">
        <v>1180</v>
      </c>
      <c r="B14" s="368">
        <v>5607360</v>
      </c>
      <c r="C14" s="346"/>
      <c r="D14" s="346">
        <f>5382765-558285-1184644</f>
        <v>3639836</v>
      </c>
      <c r="E14" s="364">
        <f t="shared" si="0"/>
        <v>64.911758831250353</v>
      </c>
      <c r="F14" s="23"/>
    </row>
    <row r="15" spans="1:6" x14ac:dyDescent="0.25">
      <c r="A15" s="345" t="s">
        <v>1181</v>
      </c>
      <c r="B15" s="368">
        <v>3610800</v>
      </c>
      <c r="C15" s="346"/>
      <c r="D15" s="346">
        <v>1432724</v>
      </c>
      <c r="E15" s="364">
        <f t="shared" si="0"/>
        <v>39.678852331893211</v>
      </c>
      <c r="F15" s="23"/>
    </row>
    <row r="16" spans="1:6" x14ac:dyDescent="0.25">
      <c r="A16" s="345" t="s">
        <v>1182</v>
      </c>
      <c r="B16" s="368">
        <v>-6010920</v>
      </c>
      <c r="C16" s="346"/>
      <c r="D16" s="346">
        <v>-158</v>
      </c>
      <c r="E16" s="364">
        <f t="shared" si="0"/>
        <v>2.6285493734736114E-3</v>
      </c>
      <c r="F16" s="23"/>
    </row>
    <row r="17" spans="1:6" x14ac:dyDescent="0.25">
      <c r="A17" s="345" t="s">
        <v>1183</v>
      </c>
      <c r="B17" s="368">
        <v>2377818</v>
      </c>
      <c r="C17" s="346"/>
      <c r="D17" s="346">
        <v>1377217</v>
      </c>
      <c r="E17" s="364">
        <f t="shared" si="0"/>
        <v>57.919361364074121</v>
      </c>
      <c r="F17" s="23"/>
    </row>
    <row r="18" spans="1:6" x14ac:dyDescent="0.25">
      <c r="A18" s="345" t="s">
        <v>1184</v>
      </c>
      <c r="B18" s="368">
        <v>20329220</v>
      </c>
      <c r="C18" s="346"/>
      <c r="D18" s="346">
        <f>411178+85199+39658+42377</f>
        <v>578412</v>
      </c>
      <c r="E18" s="364">
        <f t="shared" si="0"/>
        <v>2.8452247553029579</v>
      </c>
      <c r="F18" s="23"/>
    </row>
    <row r="19" spans="1:6" x14ac:dyDescent="0.25">
      <c r="A19" s="345" t="s">
        <v>7</v>
      </c>
      <c r="B19" s="369">
        <f>SUM(B7:B18)</f>
        <v>231796219</v>
      </c>
      <c r="C19" s="369">
        <f>SUM(C7:C18)</f>
        <v>12719576</v>
      </c>
      <c r="D19" s="369">
        <f>SUM(D7:D18)</f>
        <v>87027687</v>
      </c>
      <c r="E19" s="364">
        <f t="shared" si="0"/>
        <v>37.544912240350222</v>
      </c>
      <c r="F19" s="23"/>
    </row>
    <row r="20" spans="1:6" x14ac:dyDescent="0.25">
      <c r="A20" s="345"/>
      <c r="B20" s="368"/>
      <c r="C20" s="368"/>
      <c r="D20" s="341"/>
      <c r="E20" s="364"/>
      <c r="F20" s="23"/>
    </row>
    <row r="21" spans="1:6" x14ac:dyDescent="0.25">
      <c r="A21" s="345" t="s">
        <v>1185</v>
      </c>
      <c r="B21" s="368"/>
      <c r="C21" s="361">
        <f>C19</f>
        <v>12719576</v>
      </c>
      <c r="D21" s="361">
        <f>D19</f>
        <v>87027687</v>
      </c>
      <c r="E21" s="364"/>
      <c r="F21" s="370"/>
    </row>
    <row r="22" spans="1:6" ht="15.75" thickBot="1" x14ac:dyDescent="0.3">
      <c r="A22" s="371"/>
      <c r="B22" s="372"/>
      <c r="C22" s="373"/>
      <c r="D22" s="341"/>
      <c r="E22" s="364"/>
      <c r="F22" s="23"/>
    </row>
    <row r="23" spans="1:6" ht="15.75" thickTop="1" x14ac:dyDescent="0.25">
      <c r="A23" s="23"/>
      <c r="B23" s="23"/>
      <c r="C23" s="374"/>
      <c r="D23" s="364"/>
      <c r="E23" s="364"/>
      <c r="F23" s="215"/>
    </row>
    <row r="24" spans="1:6" ht="16.5" thickBot="1" x14ac:dyDescent="0.3">
      <c r="A24" s="375" t="s">
        <v>1186</v>
      </c>
      <c r="B24" s="375"/>
      <c r="C24" s="376"/>
      <c r="D24" s="364"/>
      <c r="E24" s="364"/>
      <c r="F24" s="23"/>
    </row>
    <row r="25" spans="1:6" ht="15.75" thickTop="1" x14ac:dyDescent="0.25">
      <c r="A25" s="23"/>
      <c r="B25" s="23"/>
      <c r="C25" s="23"/>
      <c r="D25" s="364"/>
      <c r="E25" s="364"/>
      <c r="F25" s="23"/>
    </row>
    <row r="26" spans="1:6" x14ac:dyDescent="0.25">
      <c r="A26" s="23" t="s">
        <v>1187</v>
      </c>
      <c r="B26" s="23"/>
      <c r="C26" s="23"/>
      <c r="D26" s="377"/>
      <c r="E26" s="364"/>
      <c r="F26" s="23"/>
    </row>
    <row r="27" spans="1:6" ht="18.75" x14ac:dyDescent="0.3">
      <c r="A27" s="363" t="s">
        <v>1188</v>
      </c>
      <c r="B27" s="363"/>
      <c r="C27" s="23"/>
      <c r="D27" s="364"/>
      <c r="E27" s="364"/>
      <c r="F27" s="23"/>
    </row>
    <row r="28" spans="1:6" x14ac:dyDescent="0.25">
      <c r="A28" s="23"/>
      <c r="B28" s="23" t="s">
        <v>1107</v>
      </c>
      <c r="C28" s="23" t="s">
        <v>1189</v>
      </c>
      <c r="D28" s="367" t="s">
        <v>1109</v>
      </c>
      <c r="E28" s="364"/>
      <c r="F28" s="23"/>
    </row>
    <row r="29" spans="1:6" x14ac:dyDescent="0.25">
      <c r="A29" s="334" t="s">
        <v>1190</v>
      </c>
      <c r="B29" s="378">
        <v>14316360</v>
      </c>
      <c r="C29" s="379">
        <v>14316360</v>
      </c>
      <c r="D29" s="380">
        <f>C29/B29*100</f>
        <v>100</v>
      </c>
      <c r="E29" s="364"/>
      <c r="F29" s="23"/>
    </row>
    <row r="30" spans="1:6" x14ac:dyDescent="0.25">
      <c r="A30" s="334" t="s">
        <v>1191</v>
      </c>
      <c r="B30" s="378">
        <v>53440000</v>
      </c>
      <c r="C30" s="378">
        <f>14540000+19480000</f>
        <v>34020000</v>
      </c>
      <c r="D30" s="380">
        <f>C30/B30*100</f>
        <v>63.66017964071856</v>
      </c>
      <c r="E30" s="364"/>
      <c r="F30" s="23"/>
    </row>
    <row r="31" spans="1:6" x14ac:dyDescent="0.25">
      <c r="A31" s="381"/>
      <c r="B31" s="29"/>
      <c r="C31" s="29"/>
      <c r="D31" s="382"/>
      <c r="E31" s="383"/>
      <c r="F31" s="29"/>
    </row>
    <row r="32" spans="1:6" x14ac:dyDescent="0.25">
      <c r="A32" s="384"/>
      <c r="B32" s="385"/>
      <c r="C32" s="385"/>
      <c r="D32" s="353"/>
      <c r="E32" s="383"/>
      <c r="F32" s="29"/>
    </row>
    <row r="33" spans="1:6" x14ac:dyDescent="0.25">
      <c r="A33" s="386" t="s">
        <v>1192</v>
      </c>
      <c r="B33" s="386"/>
      <c r="C33" s="23"/>
      <c r="D33" s="364"/>
      <c r="E33" s="364"/>
      <c r="F33" s="23"/>
    </row>
    <row r="34" spans="1:6" x14ac:dyDescent="0.25">
      <c r="A34" s="333" t="s">
        <v>1193</v>
      </c>
      <c r="B34" s="23"/>
      <c r="C34" s="23"/>
      <c r="D34" s="364"/>
      <c r="E34" s="364"/>
      <c r="F34" s="23"/>
    </row>
    <row r="35" spans="1:6" x14ac:dyDescent="0.25">
      <c r="A35" s="387" t="s">
        <v>1107</v>
      </c>
      <c r="B35" s="388">
        <f>5212000+800000+890000+934000</f>
        <v>7836000</v>
      </c>
      <c r="C35" s="23"/>
      <c r="D35" s="364"/>
      <c r="E35" s="364"/>
      <c r="F35" s="23"/>
    </row>
    <row r="36" spans="1:6" x14ac:dyDescent="0.25">
      <c r="A36" s="387" t="s">
        <v>1194</v>
      </c>
      <c r="B36" s="388">
        <f>5212000+800000+890000+934000</f>
        <v>7836000</v>
      </c>
      <c r="C36" s="23"/>
      <c r="D36" s="364"/>
      <c r="E36" s="364"/>
      <c r="F36" s="23"/>
    </row>
    <row r="37" spans="1:6" x14ac:dyDescent="0.25">
      <c r="A37" s="387" t="s">
        <v>1195</v>
      </c>
      <c r="B37" s="388">
        <f>5853260+6430+599-9889+25838+1910+48785+516235</f>
        <v>6443168</v>
      </c>
      <c r="C37" s="23"/>
      <c r="D37" s="364"/>
      <c r="E37" s="364"/>
      <c r="F37" s="23"/>
    </row>
    <row r="38" spans="1:6" x14ac:dyDescent="0.25">
      <c r="A38" s="387" t="s">
        <v>1196</v>
      </c>
      <c r="B38" s="389">
        <f>B37/B36*1</f>
        <v>0.82225216947422153</v>
      </c>
      <c r="C38" s="23"/>
      <c r="D38" s="364"/>
      <c r="E38" s="364"/>
      <c r="F38" s="23"/>
    </row>
    <row r="39" spans="1:6" x14ac:dyDescent="0.25">
      <c r="A39" s="387" t="s">
        <v>1197</v>
      </c>
      <c r="B39" s="388">
        <f>B36-B37</f>
        <v>1392832</v>
      </c>
      <c r="C39" s="23"/>
      <c r="D39" s="364"/>
      <c r="E39" s="364"/>
      <c r="F39" s="23"/>
    </row>
    <row r="40" spans="1:6" x14ac:dyDescent="0.25">
      <c r="A40" s="390"/>
      <c r="B40" s="391"/>
      <c r="C40" s="23"/>
      <c r="D40" s="383"/>
      <c r="E40" s="364"/>
      <c r="F40" s="23"/>
    </row>
    <row r="41" spans="1:6" x14ac:dyDescent="0.25">
      <c r="A41" s="29"/>
      <c r="B41" s="392"/>
      <c r="C41" s="29"/>
      <c r="D41" s="364"/>
      <c r="E41" s="364"/>
      <c r="F41" s="23"/>
    </row>
    <row r="42" spans="1:6" x14ac:dyDescent="0.25">
      <c r="A42" s="393" t="s">
        <v>1198</v>
      </c>
      <c r="B42" s="394"/>
      <c r="C42" s="23"/>
      <c r="D42" s="364"/>
      <c r="E42" s="364"/>
      <c r="F42" s="23"/>
    </row>
    <row r="43" spans="1:6" x14ac:dyDescent="0.25">
      <c r="A43" s="386" t="s">
        <v>1193</v>
      </c>
      <c r="B43" s="386"/>
      <c r="C43" s="23"/>
      <c r="D43" s="364"/>
      <c r="E43" s="364"/>
      <c r="F43" s="23"/>
    </row>
    <row r="44" spans="1:6" x14ac:dyDescent="0.25">
      <c r="A44" s="345" t="s">
        <v>1107</v>
      </c>
      <c r="B44" s="368">
        <f>5000000-489000+1500000+1550000+1600000</f>
        <v>9161000</v>
      </c>
      <c r="C44" s="23"/>
      <c r="D44" s="364"/>
      <c r="E44" s="364"/>
      <c r="F44" s="23"/>
    </row>
    <row r="45" spans="1:6" x14ac:dyDescent="0.25">
      <c r="A45" s="345" t="s">
        <v>1194</v>
      </c>
      <c r="B45" s="368">
        <f>4511000+1500000+1550000+1600000</f>
        <v>9161000</v>
      </c>
      <c r="C45" s="23"/>
      <c r="D45" s="364"/>
      <c r="E45" s="364"/>
      <c r="F45" s="23"/>
    </row>
    <row r="46" spans="1:6" x14ac:dyDescent="0.25">
      <c r="A46" s="339" t="s">
        <v>1199</v>
      </c>
      <c r="B46" s="368">
        <f>4948535+28562+37916+33250+29089+49567+66035+62224+66578+300823+78902+579969+95873+80956+89605+108632+104535+83997+84742+72807+77206+69161+104327+39318+237150+84381+29597+25000+40163+30633+27024</f>
        <v>7766557</v>
      </c>
      <c r="C46" s="23"/>
      <c r="D46" s="364"/>
      <c r="E46" s="364"/>
      <c r="F46" s="23"/>
    </row>
    <row r="47" spans="1:6" x14ac:dyDescent="0.25">
      <c r="A47" s="339" t="s">
        <v>1200</v>
      </c>
      <c r="B47" s="368">
        <v>26615</v>
      </c>
      <c r="C47" s="23"/>
      <c r="D47" s="364"/>
      <c r="E47" s="364"/>
      <c r="F47" s="23"/>
    </row>
    <row r="48" spans="1:6" x14ac:dyDescent="0.25">
      <c r="A48" s="339" t="s">
        <v>1201</v>
      </c>
      <c r="B48" s="395">
        <f>SUM(B46:B47)</f>
        <v>7793172</v>
      </c>
      <c r="C48" s="23"/>
      <c r="D48" s="364"/>
      <c r="E48" s="364"/>
      <c r="F48" s="23"/>
    </row>
    <row r="49" spans="1:6" x14ac:dyDescent="0.25">
      <c r="A49" s="339" t="s">
        <v>1196</v>
      </c>
      <c r="B49" s="396">
        <f>B48/B45*1</f>
        <v>0.85069009933413386</v>
      </c>
      <c r="C49" s="23"/>
      <c r="D49" s="364"/>
      <c r="E49" s="364"/>
      <c r="F49" s="23"/>
    </row>
    <row r="50" spans="1:6" x14ac:dyDescent="0.25">
      <c r="A50" s="339" t="s">
        <v>1197</v>
      </c>
      <c r="B50" s="368">
        <f>B45-B48</f>
        <v>1367828</v>
      </c>
      <c r="C50" s="23"/>
      <c r="D50" s="364"/>
      <c r="E50" s="364"/>
      <c r="F50" s="23"/>
    </row>
    <row r="51" spans="1:6" x14ac:dyDescent="0.25">
      <c r="A51" s="394"/>
      <c r="B51" s="397"/>
      <c r="C51" s="23"/>
      <c r="D51" s="364"/>
      <c r="E51" s="364"/>
      <c r="F51" s="23"/>
    </row>
    <row r="52" spans="1:6" ht="24.75" customHeight="1" x14ac:dyDescent="0.4">
      <c r="A52" s="599" t="s">
        <v>1421</v>
      </c>
      <c r="B52" s="600"/>
      <c r="C52" s="600"/>
      <c r="D52" s="600"/>
      <c r="E52" s="600"/>
      <c r="F52" s="23"/>
    </row>
    <row r="53" spans="1:6" ht="47.25" customHeight="1" x14ac:dyDescent="0.25">
      <c r="A53" s="596" t="s">
        <v>1438</v>
      </c>
      <c r="B53" s="596"/>
      <c r="C53" s="596"/>
      <c r="D53" s="596"/>
      <c r="E53" s="596"/>
    </row>
  </sheetData>
  <mergeCells count="2">
    <mergeCell ref="A52:E52"/>
    <mergeCell ref="A53:E53"/>
  </mergeCells>
  <dataValidations count="2">
    <dataValidation type="whole" allowBlank="1" showInputMessage="1" showErrorMessage="1" error="Enter a whole number" sqref="C7:C8 C10:C12 C18:C19">
      <formula1>-999999999999</formula1>
      <formula2>999999999999</formula2>
    </dataValidation>
    <dataValidation type="whole" allowBlank="1" showInputMessage="1" showErrorMessage="1" sqref="B48:B49">
      <formula1>-99999999999</formula1>
      <formula2>999999999999</formula2>
    </dataValidation>
  </dataValidations>
  <pageMargins left="0.70866141732283505" right="0.70866141732283505" top="0.74803149606299202" bottom="0.74803149606299202" header="0.31496062992126" footer="0.31496062992126"/>
  <pageSetup paperSize="9" scale="8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view="pageBreakPreview" topLeftCell="A9" zoomScale="90" zoomScaleNormal="100" zoomScaleSheetLayoutView="90" workbookViewId="0">
      <selection activeCell="I9" sqref="I9"/>
    </sheetView>
  </sheetViews>
  <sheetFormatPr defaultRowHeight="45" customHeight="1" x14ac:dyDescent="0.25"/>
  <cols>
    <col min="1" max="1" width="66" customWidth="1"/>
    <col min="2" max="2" width="15.7109375" customWidth="1"/>
  </cols>
  <sheetData>
    <row r="1" spans="1:2" ht="45" customHeight="1" x14ac:dyDescent="0.25">
      <c r="A1" s="478" t="s">
        <v>1371</v>
      </c>
      <c r="B1" s="479"/>
    </row>
    <row r="2" spans="1:2" ht="36" customHeight="1" x14ac:dyDescent="0.25">
      <c r="A2" s="480" t="s">
        <v>1372</v>
      </c>
      <c r="B2" s="481">
        <v>2</v>
      </c>
    </row>
    <row r="3" spans="1:2" ht="35.25" customHeight="1" x14ac:dyDescent="0.25">
      <c r="A3" s="480" t="s">
        <v>1380</v>
      </c>
      <c r="B3" s="481">
        <v>3</v>
      </c>
    </row>
    <row r="4" spans="1:2" ht="33.75" customHeight="1" x14ac:dyDescent="0.25">
      <c r="A4" s="480" t="s">
        <v>1373</v>
      </c>
      <c r="B4" s="481">
        <v>4</v>
      </c>
    </row>
    <row r="5" spans="1:2" ht="36" customHeight="1" x14ac:dyDescent="0.25">
      <c r="A5" s="480" t="s">
        <v>1381</v>
      </c>
      <c r="B5" s="481">
        <v>6</v>
      </c>
    </row>
    <row r="6" spans="1:2" ht="35.25" customHeight="1" x14ac:dyDescent="0.25">
      <c r="A6" s="480" t="s">
        <v>1374</v>
      </c>
      <c r="B6" s="481">
        <v>10</v>
      </c>
    </row>
    <row r="7" spans="1:2" ht="36" customHeight="1" x14ac:dyDescent="0.25">
      <c r="A7" s="480" t="s">
        <v>1375</v>
      </c>
      <c r="B7" s="481">
        <v>13</v>
      </c>
    </row>
    <row r="8" spans="1:2" ht="33.75" customHeight="1" x14ac:dyDescent="0.25">
      <c r="A8" s="480" t="s">
        <v>1376</v>
      </c>
      <c r="B8" s="481">
        <v>24</v>
      </c>
    </row>
    <row r="9" spans="1:2" ht="32.25" customHeight="1" x14ac:dyDescent="0.25">
      <c r="A9" s="480" t="s">
        <v>1377</v>
      </c>
      <c r="B9" s="481">
        <v>28</v>
      </c>
    </row>
    <row r="10" spans="1:2" ht="35.25" customHeight="1" x14ac:dyDescent="0.25">
      <c r="A10" s="480" t="s">
        <v>1378</v>
      </c>
      <c r="B10" s="481">
        <v>29</v>
      </c>
    </row>
    <row r="11" spans="1:2" ht="32.25" customHeight="1" x14ac:dyDescent="0.25">
      <c r="A11" s="480" t="s">
        <v>1379</v>
      </c>
      <c r="B11" s="481">
        <v>31</v>
      </c>
    </row>
    <row r="12" spans="1:2" ht="31.5" customHeight="1" x14ac:dyDescent="0.25">
      <c r="A12" s="480" t="s">
        <v>1383</v>
      </c>
      <c r="B12" s="481">
        <v>36</v>
      </c>
    </row>
    <row r="13" spans="1:2" ht="32.25" customHeight="1" x14ac:dyDescent="0.25">
      <c r="A13" s="480" t="s">
        <v>1384</v>
      </c>
      <c r="B13" s="481">
        <v>38</v>
      </c>
    </row>
    <row r="14" spans="1:2" ht="36" customHeight="1" x14ac:dyDescent="0.25">
      <c r="A14" s="480" t="s">
        <v>1385</v>
      </c>
      <c r="B14" s="481">
        <v>41</v>
      </c>
    </row>
    <row r="15" spans="1:2" ht="33.75" customHeight="1" x14ac:dyDescent="0.25">
      <c r="A15" s="480" t="s">
        <v>1386</v>
      </c>
      <c r="B15" s="481">
        <v>42</v>
      </c>
    </row>
    <row r="16" spans="1:2" s="23" customFormat="1" ht="24" customHeight="1" x14ac:dyDescent="0.25">
      <c r="A16" s="480" t="s">
        <v>1415</v>
      </c>
      <c r="B16" s="481">
        <v>60</v>
      </c>
    </row>
    <row r="17" spans="1:2" s="23" customFormat="1" ht="32.25" customHeight="1" x14ac:dyDescent="0.25">
      <c r="A17" s="480" t="s">
        <v>1416</v>
      </c>
      <c r="B17" s="481">
        <v>61</v>
      </c>
    </row>
    <row r="18" spans="1:2" s="23" customFormat="1" ht="32.25" customHeight="1" thickBot="1" x14ac:dyDescent="0.3">
      <c r="A18" s="482" t="s">
        <v>1387</v>
      </c>
      <c r="B18" s="483">
        <v>62</v>
      </c>
    </row>
  </sheetData>
  <pageMargins left="0.70866141732283472" right="0.70866141732283472" top="0.74803149606299213" bottom="0.74803149606299213" header="0.31496062992125984" footer="0.31496062992125984"/>
  <pageSetup paperSize="9" scale="99" orientation="portrait"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zoomScaleNormal="100" zoomScaleSheetLayoutView="100" workbookViewId="0">
      <selection activeCell="D17" sqref="D17"/>
    </sheetView>
  </sheetViews>
  <sheetFormatPr defaultRowHeight="15" x14ac:dyDescent="0.25"/>
  <cols>
    <col min="1" max="1" width="19.5703125" customWidth="1"/>
    <col min="2" max="2" width="13" customWidth="1"/>
    <col min="3" max="4" width="13.140625" customWidth="1"/>
  </cols>
  <sheetData>
    <row r="1" spans="1:7" ht="15.75" x14ac:dyDescent="0.25">
      <c r="A1" s="332" t="s">
        <v>1202</v>
      </c>
      <c r="B1" s="23"/>
      <c r="C1" s="23"/>
      <c r="D1" s="23"/>
      <c r="E1" s="23"/>
      <c r="F1" s="23"/>
      <c r="G1" s="23"/>
    </row>
    <row r="2" spans="1:7" x14ac:dyDescent="0.25">
      <c r="A2" s="23"/>
      <c r="B2" s="23"/>
      <c r="C2" s="23"/>
      <c r="D2" s="23"/>
      <c r="E2" s="23"/>
      <c r="F2" s="23"/>
      <c r="G2" s="23"/>
    </row>
    <row r="3" spans="1:7" x14ac:dyDescent="0.25">
      <c r="A3" s="398" t="s">
        <v>1203</v>
      </c>
      <c r="B3" s="398"/>
      <c r="C3" s="398"/>
      <c r="D3" s="29"/>
      <c r="E3" s="29"/>
      <c r="F3" s="23"/>
      <c r="G3" s="23"/>
    </row>
    <row r="4" spans="1:7" x14ac:dyDescent="0.25">
      <c r="A4" s="29"/>
      <c r="B4" s="29"/>
      <c r="C4" s="29"/>
      <c r="D4" s="29"/>
      <c r="E4" s="29"/>
      <c r="F4" s="23"/>
      <c r="G4" s="23"/>
    </row>
    <row r="5" spans="1:7" x14ac:dyDescent="0.25">
      <c r="A5" s="336" t="s">
        <v>1204</v>
      </c>
      <c r="B5" s="336" t="s">
        <v>1107</v>
      </c>
      <c r="C5" s="336" t="s">
        <v>1108</v>
      </c>
      <c r="D5" s="336" t="s">
        <v>1205</v>
      </c>
      <c r="E5" s="336" t="s">
        <v>1109</v>
      </c>
      <c r="F5" s="23"/>
      <c r="G5" s="23"/>
    </row>
    <row r="6" spans="1:7" x14ac:dyDescent="0.25">
      <c r="A6" s="345"/>
      <c r="B6" s="339"/>
      <c r="C6" s="339"/>
      <c r="D6" s="339"/>
      <c r="E6" s="345"/>
      <c r="F6" s="23"/>
      <c r="G6" s="23"/>
    </row>
    <row r="7" spans="1:7" x14ac:dyDescent="0.25">
      <c r="A7" s="345" t="s">
        <v>1202</v>
      </c>
      <c r="B7" s="399">
        <v>43139596</v>
      </c>
      <c r="C7" s="346">
        <f>20132701-115121-1173898</f>
        <v>18843682</v>
      </c>
      <c r="D7" s="368">
        <f>3360018-19187-195439</f>
        <v>3145392</v>
      </c>
      <c r="E7" s="341">
        <f t="shared" ref="E7:E18" si="0">C7/B7*100</f>
        <v>43.680710408136413</v>
      </c>
      <c r="F7" s="23"/>
      <c r="G7" s="23"/>
    </row>
    <row r="8" spans="1:7" x14ac:dyDescent="0.25">
      <c r="A8" s="345" t="s">
        <v>1206</v>
      </c>
      <c r="B8" s="379">
        <v>359454</v>
      </c>
      <c r="C8" s="346">
        <f>124420-0-9373</f>
        <v>115047</v>
      </c>
      <c r="D8" s="368">
        <f>20935-0-1546</f>
        <v>19389</v>
      </c>
      <c r="E8" s="341">
        <f t="shared" si="0"/>
        <v>32.006042497788314</v>
      </c>
      <c r="F8" s="23"/>
      <c r="G8" s="23"/>
    </row>
    <row r="9" spans="1:7" x14ac:dyDescent="0.25">
      <c r="A9" s="345" t="s">
        <v>1207</v>
      </c>
      <c r="B9" s="368">
        <v>143617</v>
      </c>
      <c r="C9" s="346">
        <f>54900-0-0</f>
        <v>54900</v>
      </c>
      <c r="D9" s="368">
        <f>9150-0-0</f>
        <v>9150</v>
      </c>
      <c r="E9" s="341">
        <f t="shared" si="0"/>
        <v>38.226672329877381</v>
      </c>
      <c r="F9" s="23"/>
      <c r="G9" s="23"/>
    </row>
    <row r="10" spans="1:7" x14ac:dyDescent="0.25">
      <c r="A10" s="345" t="s">
        <v>1208</v>
      </c>
      <c r="B10" s="368">
        <v>56599</v>
      </c>
      <c r="C10" s="346">
        <f>69115-7988-29648</f>
        <v>31479</v>
      </c>
      <c r="D10" s="368">
        <f>17538-1874-5804</f>
        <v>9860</v>
      </c>
      <c r="E10" s="341">
        <f t="shared" si="0"/>
        <v>55.61759041679182</v>
      </c>
      <c r="F10" s="23"/>
      <c r="G10" s="23"/>
    </row>
    <row r="11" spans="1:7" x14ac:dyDescent="0.25">
      <c r="A11" s="345" t="s">
        <v>1209</v>
      </c>
      <c r="B11" s="368">
        <v>206588</v>
      </c>
      <c r="C11" s="346">
        <f>103430-1743-4111</f>
        <v>97576</v>
      </c>
      <c r="D11" s="368">
        <f>17125-291-685</f>
        <v>16149</v>
      </c>
      <c r="E11" s="341">
        <f t="shared" si="0"/>
        <v>47.232172246209849</v>
      </c>
      <c r="F11" s="23"/>
      <c r="G11" s="23"/>
    </row>
    <row r="12" spans="1:7" x14ac:dyDescent="0.25">
      <c r="A12" s="345" t="s">
        <v>1210</v>
      </c>
      <c r="B12" s="368">
        <v>42343</v>
      </c>
      <c r="C12" s="346">
        <f>8719-41-854</f>
        <v>7824</v>
      </c>
      <c r="D12" s="368">
        <f>1444-7-142</f>
        <v>1295</v>
      </c>
      <c r="E12" s="341">
        <f t="shared" si="0"/>
        <v>18.477670453203597</v>
      </c>
      <c r="F12" s="23"/>
      <c r="G12" s="23"/>
    </row>
    <row r="13" spans="1:7" x14ac:dyDescent="0.25">
      <c r="A13" s="345" t="s">
        <v>1211</v>
      </c>
      <c r="B13" s="368">
        <v>2322064</v>
      </c>
      <c r="C13" s="346">
        <f>1153960-0-82277</f>
        <v>1071683</v>
      </c>
      <c r="D13" s="368">
        <f>191396-0-13269</f>
        <v>178127</v>
      </c>
      <c r="E13" s="341">
        <f t="shared" si="0"/>
        <v>46.152173238980495</v>
      </c>
      <c r="F13" s="23"/>
      <c r="G13" s="23"/>
    </row>
    <row r="14" spans="1:7" x14ac:dyDescent="0.25">
      <c r="A14" s="345" t="s">
        <v>1212</v>
      </c>
      <c r="B14" s="368">
        <v>3087934</v>
      </c>
      <c r="C14" s="346">
        <f>2003477-32533-537921</f>
        <v>1433023</v>
      </c>
      <c r="D14" s="368">
        <f>286086-2156-74502</f>
        <v>209428</v>
      </c>
      <c r="E14" s="341">
        <f t="shared" si="0"/>
        <v>46.407177096401668</v>
      </c>
      <c r="F14" s="23"/>
      <c r="G14" s="23"/>
    </row>
    <row r="15" spans="1:7" x14ac:dyDescent="0.25">
      <c r="A15" s="345" t="s">
        <v>1213</v>
      </c>
      <c r="B15" s="368">
        <v>8028871</v>
      </c>
      <c r="C15" s="346">
        <f>3857640-19173-255977</f>
        <v>3582490</v>
      </c>
      <c r="D15" s="368">
        <f>639013-3196-42742</f>
        <v>593075</v>
      </c>
      <c r="E15" s="341">
        <f t="shared" si="0"/>
        <v>44.620096648706898</v>
      </c>
      <c r="F15" s="23"/>
      <c r="G15" s="23"/>
    </row>
    <row r="16" spans="1:7" x14ac:dyDescent="0.25">
      <c r="A16" s="345" t="s">
        <v>1214</v>
      </c>
      <c r="B16" s="368">
        <v>1484684</v>
      </c>
      <c r="C16" s="346">
        <f>179825-0-0</f>
        <v>179825</v>
      </c>
      <c r="D16" s="400">
        <f>49114-0-0</f>
        <v>49114</v>
      </c>
      <c r="E16" s="341">
        <f t="shared" si="0"/>
        <v>12.112004978837247</v>
      </c>
      <c r="F16" s="23"/>
      <c r="G16" s="23"/>
    </row>
    <row r="17" spans="1:7" x14ac:dyDescent="0.25">
      <c r="A17" s="345" t="s">
        <v>1215</v>
      </c>
      <c r="B17" s="368">
        <v>3702129</v>
      </c>
      <c r="C17" s="346">
        <f>1543013-1525-116046</f>
        <v>1425442</v>
      </c>
      <c r="D17" s="368">
        <f>213790-0-8027</f>
        <v>205763</v>
      </c>
      <c r="E17" s="341">
        <f t="shared" si="0"/>
        <v>38.503304449952985</v>
      </c>
      <c r="F17" s="23"/>
      <c r="G17" s="23"/>
    </row>
    <row r="18" spans="1:7" x14ac:dyDescent="0.25">
      <c r="A18" s="345" t="s">
        <v>1216</v>
      </c>
      <c r="B18" s="368">
        <v>1772396</v>
      </c>
      <c r="C18" s="346">
        <f>825671-61200</f>
        <v>764471</v>
      </c>
      <c r="D18" s="368">
        <f>138325-10000</f>
        <v>128325</v>
      </c>
      <c r="E18" s="341">
        <f t="shared" si="0"/>
        <v>43.132065294663271</v>
      </c>
      <c r="F18" s="23"/>
      <c r="G18" s="23"/>
    </row>
    <row r="19" spans="1:7" x14ac:dyDescent="0.25">
      <c r="A19" s="338"/>
      <c r="B19" s="354"/>
      <c r="C19" s="340"/>
      <c r="D19" s="354"/>
      <c r="E19" s="401"/>
      <c r="F19" s="23"/>
      <c r="G19" s="23"/>
    </row>
    <row r="20" spans="1:7" x14ac:dyDescent="0.25">
      <c r="A20" s="402" t="s">
        <v>1217</v>
      </c>
      <c r="B20" s="403"/>
      <c r="C20" s="404"/>
      <c r="D20" s="405"/>
      <c r="E20" s="401"/>
      <c r="F20" s="23"/>
      <c r="G20" s="23"/>
    </row>
    <row r="21" spans="1:7" x14ac:dyDescent="0.25">
      <c r="A21" s="406" t="s">
        <v>1218</v>
      </c>
      <c r="B21" s="407">
        <f>SUM(B7:B18)</f>
        <v>64346275</v>
      </c>
      <c r="C21" s="408">
        <f>SUM(C7:C18)</f>
        <v>27607442</v>
      </c>
      <c r="D21" s="408">
        <f>SUM(D7:D18)</f>
        <v>4565067</v>
      </c>
      <c r="E21" s="409">
        <f>C21/B21*100</f>
        <v>42.904491363330663</v>
      </c>
      <c r="F21" s="23"/>
      <c r="G21" s="23"/>
    </row>
    <row r="22" spans="1:7" x14ac:dyDescent="0.25">
      <c r="A22" s="23"/>
      <c r="B22" s="23"/>
      <c r="C22" s="147"/>
      <c r="D22" s="23"/>
      <c r="E22" s="23"/>
      <c r="F22" s="23"/>
      <c r="G22" s="23"/>
    </row>
    <row r="23" spans="1:7" x14ac:dyDescent="0.25">
      <c r="A23" s="23"/>
      <c r="B23" s="23"/>
      <c r="C23" s="147"/>
      <c r="D23" s="23"/>
      <c r="E23" s="23"/>
      <c r="F23" s="23"/>
      <c r="G23" s="23"/>
    </row>
    <row r="24" spans="1:7" x14ac:dyDescent="0.25">
      <c r="A24" s="398" t="s">
        <v>1219</v>
      </c>
      <c r="B24" s="398"/>
      <c r="C24" s="29"/>
      <c r="D24" s="29"/>
      <c r="E24" s="29"/>
      <c r="F24" s="23"/>
      <c r="G24" s="23"/>
    </row>
    <row r="25" spans="1:7" x14ac:dyDescent="0.25">
      <c r="A25" s="29"/>
      <c r="B25" s="29"/>
      <c r="C25" s="29"/>
      <c r="D25" s="29"/>
      <c r="E25" s="29"/>
      <c r="F25" s="23"/>
      <c r="G25" s="23"/>
    </row>
    <row r="26" spans="1:7" x14ac:dyDescent="0.25">
      <c r="A26" s="336" t="s">
        <v>1204</v>
      </c>
      <c r="B26" s="336" t="s">
        <v>1107</v>
      </c>
      <c r="C26" s="336" t="s">
        <v>1108</v>
      </c>
      <c r="D26" s="336" t="s">
        <v>1205</v>
      </c>
      <c r="E26" s="336" t="s">
        <v>1109</v>
      </c>
      <c r="F26" s="23"/>
      <c r="G26" s="23"/>
    </row>
    <row r="27" spans="1:7" x14ac:dyDescent="0.25">
      <c r="A27" s="402" t="s">
        <v>1220</v>
      </c>
      <c r="B27" s="405"/>
      <c r="C27" s="405"/>
      <c r="D27" s="405"/>
      <c r="E27" s="402"/>
      <c r="F27" s="23"/>
      <c r="G27" s="23"/>
    </row>
    <row r="28" spans="1:7" x14ac:dyDescent="0.25">
      <c r="A28" s="393" t="s">
        <v>1221</v>
      </c>
      <c r="B28" s="410">
        <v>16855524</v>
      </c>
      <c r="C28" s="410">
        <f>901414+849619+346348+281564+5176406</f>
        <v>7555351</v>
      </c>
      <c r="D28" s="410">
        <f>150236+188072+58225+46927+847164</f>
        <v>1290624</v>
      </c>
      <c r="E28" s="409">
        <f>C28/B28*100</f>
        <v>44.824183454634813</v>
      </c>
      <c r="F28" s="23"/>
      <c r="G28" s="23"/>
    </row>
    <row r="29" spans="1:7" x14ac:dyDescent="0.25">
      <c r="A29" s="23"/>
      <c r="B29" s="23"/>
      <c r="C29" s="23"/>
      <c r="D29" s="23"/>
      <c r="E29" s="23"/>
      <c r="F29" s="23"/>
      <c r="G29" s="23"/>
    </row>
    <row r="30" spans="1:7" x14ac:dyDescent="0.25">
      <c r="A30" s="23"/>
      <c r="B30" s="23"/>
      <c r="C30" s="23"/>
      <c r="D30" s="23"/>
      <c r="E30" s="23"/>
      <c r="F30" s="23"/>
      <c r="G30" s="23"/>
    </row>
  </sheetData>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view="pageBreakPreview" topLeftCell="A37" zoomScale="80" zoomScaleNormal="90" zoomScaleSheetLayoutView="80" workbookViewId="0">
      <selection activeCell="K60" sqref="K60"/>
    </sheetView>
  </sheetViews>
  <sheetFormatPr defaultRowHeight="15" x14ac:dyDescent="0.25"/>
  <cols>
    <col min="2" max="2" width="33" customWidth="1"/>
    <col min="4" max="4" width="13" customWidth="1"/>
    <col min="5" max="5" width="12.7109375" customWidth="1"/>
    <col min="6" max="6" width="10.28515625" customWidth="1"/>
  </cols>
  <sheetData>
    <row r="1" spans="1:8" x14ac:dyDescent="0.25">
      <c r="A1" s="23"/>
      <c r="B1" s="23"/>
      <c r="C1" s="23"/>
      <c r="D1" s="23"/>
      <c r="E1" s="23"/>
      <c r="F1" s="23"/>
      <c r="G1" s="23"/>
      <c r="H1" s="23"/>
    </row>
    <row r="2" spans="1:8" ht="15.75" x14ac:dyDescent="0.25">
      <c r="A2" s="332" t="s">
        <v>1222</v>
      </c>
      <c r="B2" s="332"/>
      <c r="C2" s="332"/>
      <c r="D2" s="23"/>
      <c r="E2" s="23"/>
      <c r="F2" s="23"/>
      <c r="G2" s="23"/>
      <c r="H2" s="23"/>
    </row>
    <row r="3" spans="1:8" x14ac:dyDescent="0.25">
      <c r="A3" s="333"/>
      <c r="B3" s="333"/>
      <c r="C3" s="23"/>
      <c r="D3" s="23"/>
      <c r="E3" s="23"/>
      <c r="F3" s="23"/>
      <c r="G3" s="23"/>
      <c r="H3" s="23"/>
    </row>
    <row r="4" spans="1:8" x14ac:dyDescent="0.25">
      <c r="A4" s="334" t="s">
        <v>1104</v>
      </c>
      <c r="B4" s="334" t="s">
        <v>1105</v>
      </c>
      <c r="C4" s="334" t="s">
        <v>1106</v>
      </c>
      <c r="D4" s="334" t="s">
        <v>1107</v>
      </c>
      <c r="E4" s="334" t="s">
        <v>1108</v>
      </c>
      <c r="F4" s="336" t="s">
        <v>1109</v>
      </c>
      <c r="G4" s="23"/>
      <c r="H4" s="23"/>
    </row>
    <row r="5" spans="1:8" x14ac:dyDescent="0.25">
      <c r="A5" s="337" t="s">
        <v>1110</v>
      </c>
      <c r="B5" s="338" t="s">
        <v>1111</v>
      </c>
      <c r="C5" s="338" t="s">
        <v>1112</v>
      </c>
      <c r="D5" s="354">
        <v>21358</v>
      </c>
      <c r="E5" s="354">
        <v>8374</v>
      </c>
      <c r="F5" s="411">
        <f>E5/D5*100</f>
        <v>39.207790991665888</v>
      </c>
      <c r="G5" s="23"/>
      <c r="H5" s="23"/>
    </row>
    <row r="6" spans="1:8" x14ac:dyDescent="0.25">
      <c r="A6" s="342"/>
      <c r="B6" s="342"/>
      <c r="C6" s="342"/>
      <c r="D6" s="343"/>
      <c r="E6" s="343">
        <v>0</v>
      </c>
      <c r="F6" s="342"/>
      <c r="G6" s="23"/>
      <c r="H6" s="23"/>
    </row>
    <row r="7" spans="1:8" x14ac:dyDescent="0.25">
      <c r="A7" s="23"/>
      <c r="B7" s="23"/>
      <c r="C7" s="23"/>
      <c r="D7" s="23"/>
      <c r="E7" s="23"/>
      <c r="F7" s="23"/>
      <c r="G7" s="23"/>
      <c r="H7" s="23"/>
    </row>
    <row r="8" spans="1:8" x14ac:dyDescent="0.25">
      <c r="A8" s="344" t="s">
        <v>1113</v>
      </c>
      <c r="B8" s="345" t="s">
        <v>1114</v>
      </c>
      <c r="C8" s="345" t="s">
        <v>1112</v>
      </c>
      <c r="D8" s="339">
        <v>4000</v>
      </c>
      <c r="E8" s="339">
        <v>0</v>
      </c>
      <c r="F8" s="341">
        <v>0</v>
      </c>
      <c r="G8" s="23"/>
      <c r="H8" s="23"/>
    </row>
    <row r="9" spans="1:8" x14ac:dyDescent="0.25">
      <c r="A9" s="29"/>
      <c r="B9" s="29"/>
      <c r="C9" s="29"/>
      <c r="D9" s="350"/>
      <c r="E9" s="350">
        <v>0</v>
      </c>
      <c r="F9" s="29"/>
      <c r="G9" s="23"/>
      <c r="H9" s="23"/>
    </row>
    <row r="10" spans="1:8" x14ac:dyDescent="0.25">
      <c r="A10" s="29"/>
      <c r="B10" s="29"/>
      <c r="C10" s="29"/>
      <c r="D10" s="350"/>
      <c r="E10" s="350">
        <v>0</v>
      </c>
      <c r="F10" s="29"/>
      <c r="G10" s="23"/>
      <c r="H10" s="23"/>
    </row>
    <row r="11" spans="1:8" x14ac:dyDescent="0.25">
      <c r="A11" s="344" t="s">
        <v>1115</v>
      </c>
      <c r="B11" s="345" t="s">
        <v>1116</v>
      </c>
      <c r="C11" s="345" t="s">
        <v>1112</v>
      </c>
      <c r="D11" s="339">
        <v>24562</v>
      </c>
      <c r="E11" s="339">
        <v>22824</v>
      </c>
      <c r="F11" s="411">
        <f>E11/D11*100</f>
        <v>92.92402898786743</v>
      </c>
      <c r="G11" s="23"/>
      <c r="H11" s="23"/>
    </row>
    <row r="12" spans="1:8" x14ac:dyDescent="0.25">
      <c r="A12" s="29"/>
      <c r="B12" s="29"/>
      <c r="C12" s="29"/>
      <c r="D12" s="350"/>
      <c r="E12" s="350">
        <v>0</v>
      </c>
      <c r="F12" s="29"/>
      <c r="G12" s="23"/>
      <c r="H12" s="23"/>
    </row>
    <row r="13" spans="1:8" x14ac:dyDescent="0.25">
      <c r="A13" s="23"/>
      <c r="B13" s="23"/>
      <c r="C13" s="23"/>
      <c r="D13" s="23"/>
      <c r="E13" s="412">
        <v>0</v>
      </c>
      <c r="F13" s="23"/>
      <c r="G13" s="23"/>
      <c r="H13" s="23"/>
    </row>
    <row r="14" spans="1:8" x14ac:dyDescent="0.25">
      <c r="A14" s="344" t="s">
        <v>1117</v>
      </c>
      <c r="B14" s="345" t="s">
        <v>305</v>
      </c>
      <c r="C14" s="345" t="s">
        <v>1118</v>
      </c>
      <c r="D14" s="339">
        <v>26698</v>
      </c>
      <c r="E14" s="339">
        <v>26055</v>
      </c>
      <c r="F14" s="411">
        <f>E14/D14*100</f>
        <v>97.591579893624996</v>
      </c>
      <c r="G14" s="23"/>
      <c r="H14" s="23"/>
    </row>
    <row r="15" spans="1:8" x14ac:dyDescent="0.25">
      <c r="A15" s="29"/>
      <c r="B15" s="29"/>
      <c r="C15" s="29"/>
      <c r="D15" s="350"/>
      <c r="E15" s="350">
        <v>0</v>
      </c>
      <c r="F15" s="29"/>
      <c r="G15" s="23"/>
      <c r="H15" s="23"/>
    </row>
    <row r="16" spans="1:8" x14ac:dyDescent="0.25">
      <c r="A16" s="347"/>
      <c r="B16" s="29"/>
      <c r="C16" s="29"/>
      <c r="D16" s="350"/>
      <c r="E16" s="350">
        <v>0</v>
      </c>
      <c r="F16" s="29"/>
      <c r="G16" s="23"/>
      <c r="H16" s="23"/>
    </row>
    <row r="17" spans="1:8" x14ac:dyDescent="0.25">
      <c r="A17" s="344" t="s">
        <v>1119</v>
      </c>
      <c r="B17" s="345" t="s">
        <v>1120</v>
      </c>
      <c r="C17" s="345" t="s">
        <v>1112</v>
      </c>
      <c r="D17" s="339">
        <v>300000</v>
      </c>
      <c r="E17" s="339">
        <v>127829</v>
      </c>
      <c r="F17" s="341">
        <f>E17/D17*100</f>
        <v>42.609666666666669</v>
      </c>
      <c r="G17" s="23"/>
      <c r="H17" s="23"/>
    </row>
    <row r="18" spans="1:8" x14ac:dyDescent="0.25">
      <c r="A18" s="29"/>
      <c r="B18" s="29"/>
      <c r="C18" s="29"/>
      <c r="D18" s="350"/>
      <c r="E18" s="350">
        <v>0</v>
      </c>
      <c r="F18" s="29"/>
      <c r="G18" s="23"/>
      <c r="H18" s="23"/>
    </row>
    <row r="19" spans="1:8" x14ac:dyDescent="0.25">
      <c r="A19" s="23"/>
      <c r="B19" s="23"/>
      <c r="C19" s="23"/>
      <c r="D19" s="23"/>
      <c r="E19" s="412">
        <v>0</v>
      </c>
      <c r="F19" s="23"/>
      <c r="G19" s="23"/>
      <c r="H19" s="23"/>
    </row>
    <row r="20" spans="1:8" x14ac:dyDescent="0.25">
      <c r="A20" s="337" t="s">
        <v>1121</v>
      </c>
      <c r="B20" s="338" t="s">
        <v>238</v>
      </c>
      <c r="C20" s="338" t="s">
        <v>1122</v>
      </c>
      <c r="D20" s="339">
        <v>380000</v>
      </c>
      <c r="E20" s="346">
        <v>137770</v>
      </c>
      <c r="F20" s="341">
        <f>E20/D20*100</f>
        <v>36.255263157894731</v>
      </c>
      <c r="G20" s="23"/>
      <c r="H20" s="23"/>
    </row>
    <row r="21" spans="1:8" x14ac:dyDescent="0.25">
      <c r="A21" s="342"/>
      <c r="B21" s="342"/>
      <c r="C21" s="342"/>
      <c r="D21" s="343"/>
      <c r="E21" s="343">
        <v>0</v>
      </c>
      <c r="F21" s="342"/>
      <c r="G21" s="23"/>
      <c r="H21" s="23"/>
    </row>
    <row r="22" spans="1:8" x14ac:dyDescent="0.25">
      <c r="A22" s="309"/>
      <c r="B22" s="23"/>
      <c r="C22" s="23"/>
      <c r="D22" s="23"/>
      <c r="E22" s="412">
        <v>0</v>
      </c>
      <c r="F22" s="23"/>
      <c r="G22" s="23"/>
      <c r="H22" s="23"/>
    </row>
    <row r="23" spans="1:8" x14ac:dyDescent="0.25">
      <c r="A23" s="413" t="s">
        <v>1123</v>
      </c>
      <c r="B23" s="345" t="s">
        <v>1223</v>
      </c>
      <c r="C23" s="345" t="s">
        <v>1112</v>
      </c>
      <c r="D23" s="399">
        <v>0</v>
      </c>
      <c r="E23" s="379">
        <v>0</v>
      </c>
      <c r="F23" s="341">
        <v>0</v>
      </c>
      <c r="G23" s="23"/>
      <c r="H23" s="23"/>
    </row>
    <row r="24" spans="1:8" x14ac:dyDescent="0.25">
      <c r="A24" s="23"/>
      <c r="B24" s="23"/>
      <c r="C24" s="23"/>
      <c r="D24" s="23"/>
      <c r="E24" s="23"/>
      <c r="F24" s="23"/>
      <c r="G24" s="23"/>
      <c r="H24" s="23"/>
    </row>
    <row r="25" spans="1:8" x14ac:dyDescent="0.25">
      <c r="A25" s="344" t="s">
        <v>1126</v>
      </c>
      <c r="B25" s="345" t="s">
        <v>1127</v>
      </c>
      <c r="C25" s="345" t="s">
        <v>1118</v>
      </c>
      <c r="D25" s="339">
        <v>0</v>
      </c>
      <c r="E25" s="339">
        <v>0</v>
      </c>
      <c r="F25" s="341">
        <v>0</v>
      </c>
      <c r="G25" s="23"/>
      <c r="H25" s="23"/>
    </row>
    <row r="26" spans="1:8" x14ac:dyDescent="0.25">
      <c r="A26" s="23"/>
      <c r="B26" s="23"/>
      <c r="C26" s="23"/>
      <c r="D26" s="350"/>
      <c r="E26" s="350"/>
      <c r="F26" s="29"/>
      <c r="G26" s="23"/>
      <c r="H26" s="23"/>
    </row>
    <row r="27" spans="1:8" x14ac:dyDescent="0.25">
      <c r="A27" s="344" t="s">
        <v>1128</v>
      </c>
      <c r="B27" s="345" t="s">
        <v>218</v>
      </c>
      <c r="C27" s="345" t="s">
        <v>1112</v>
      </c>
      <c r="D27" s="339">
        <v>600000</v>
      </c>
      <c r="E27" s="339">
        <v>308497</v>
      </c>
      <c r="F27" s="411">
        <f>E27/D27*100</f>
        <v>51.416166666666662</v>
      </c>
      <c r="G27" s="23"/>
      <c r="H27" s="23"/>
    </row>
    <row r="28" spans="1:8" x14ac:dyDescent="0.25">
      <c r="A28" s="351"/>
      <c r="B28" s="29"/>
      <c r="C28" s="29"/>
      <c r="D28" s="350"/>
      <c r="E28" s="350"/>
      <c r="F28" s="414"/>
      <c r="G28" s="23"/>
      <c r="H28" s="23"/>
    </row>
    <row r="29" spans="1:8" x14ac:dyDescent="0.25">
      <c r="A29" s="23"/>
      <c r="B29" s="23"/>
      <c r="C29" s="23"/>
      <c r="D29" s="23"/>
      <c r="E29" s="23"/>
      <c r="F29" s="147"/>
      <c r="G29" s="23"/>
      <c r="H29" s="23"/>
    </row>
    <row r="30" spans="1:8" x14ac:dyDescent="0.25">
      <c r="A30" s="344" t="s">
        <v>1129</v>
      </c>
      <c r="B30" s="345" t="s">
        <v>1130</v>
      </c>
      <c r="C30" s="345" t="s">
        <v>1112</v>
      </c>
      <c r="D30" s="339">
        <v>91839</v>
      </c>
      <c r="E30" s="339">
        <v>43901</v>
      </c>
      <c r="F30" s="411">
        <f>E30/D30*100</f>
        <v>47.802131991855312</v>
      </c>
      <c r="G30" s="23"/>
      <c r="H30" s="23"/>
    </row>
    <row r="31" spans="1:8" x14ac:dyDescent="0.25">
      <c r="A31" s="29"/>
      <c r="B31" s="29"/>
      <c r="C31" s="29"/>
      <c r="D31" s="350"/>
      <c r="E31" s="350"/>
      <c r="F31" s="309"/>
      <c r="G31" s="23"/>
      <c r="H31" s="23"/>
    </row>
    <row r="32" spans="1:8" x14ac:dyDescent="0.25">
      <c r="A32" s="309"/>
      <c r="B32" s="23"/>
      <c r="C32" s="23"/>
      <c r="D32" s="23"/>
      <c r="E32" s="23"/>
      <c r="F32" s="147"/>
      <c r="G32" s="23"/>
      <c r="H32" s="23"/>
    </row>
    <row r="33" spans="1:8" x14ac:dyDescent="0.25">
      <c r="A33" s="23"/>
      <c r="B33" s="23"/>
      <c r="C33" s="23"/>
      <c r="D33" s="23"/>
      <c r="E33" s="23"/>
      <c r="F33" s="147"/>
      <c r="G33" s="23"/>
      <c r="H33" s="23"/>
    </row>
    <row r="34" spans="1:8" x14ac:dyDescent="0.25">
      <c r="A34" s="344" t="s">
        <v>1131</v>
      </c>
      <c r="B34" s="345" t="s">
        <v>1132</v>
      </c>
      <c r="C34" s="345" t="s">
        <v>1112</v>
      </c>
      <c r="D34" s="339">
        <v>29901</v>
      </c>
      <c r="E34" s="354">
        <v>11914</v>
      </c>
      <c r="F34" s="411">
        <f>E34/D34*100</f>
        <v>39.844821243436677</v>
      </c>
      <c r="G34" s="23"/>
      <c r="H34" s="23"/>
    </row>
    <row r="35" spans="1:8" x14ac:dyDescent="0.25">
      <c r="A35" s="29"/>
      <c r="B35" s="29"/>
      <c r="C35" s="29"/>
      <c r="D35" s="350"/>
      <c r="E35" s="343"/>
      <c r="F35" s="415"/>
      <c r="G35" s="23"/>
      <c r="H35" s="23"/>
    </row>
    <row r="36" spans="1:8" x14ac:dyDescent="0.25">
      <c r="A36" s="344" t="s">
        <v>1133</v>
      </c>
      <c r="B36" s="345" t="s">
        <v>1134</v>
      </c>
      <c r="C36" s="345" t="s">
        <v>1135</v>
      </c>
      <c r="D36" s="339">
        <v>2500</v>
      </c>
      <c r="E36" s="339">
        <v>0</v>
      </c>
      <c r="F36" s="349">
        <f>E36/D36*100</f>
        <v>0</v>
      </c>
      <c r="G36" s="23"/>
      <c r="H36" s="23"/>
    </row>
    <row r="37" spans="1:8" x14ac:dyDescent="0.25">
      <c r="A37" s="29"/>
      <c r="B37" s="29"/>
      <c r="C37" s="29"/>
      <c r="D37" s="23"/>
      <c r="E37" s="23"/>
      <c r="F37" s="309"/>
      <c r="G37" s="23"/>
      <c r="H37" s="23"/>
    </row>
    <row r="38" spans="1:8" x14ac:dyDescent="0.25">
      <c r="A38" s="344" t="s">
        <v>1136</v>
      </c>
      <c r="B38" s="345" t="s">
        <v>1137</v>
      </c>
      <c r="C38" s="345" t="s">
        <v>1135</v>
      </c>
      <c r="D38" s="339">
        <v>138827</v>
      </c>
      <c r="E38" s="339">
        <v>82057</v>
      </c>
      <c r="F38" s="411">
        <f>E38/D38*100</f>
        <v>59.107378247747199</v>
      </c>
      <c r="G38" s="23"/>
      <c r="H38" s="23"/>
    </row>
    <row r="39" spans="1:8" x14ac:dyDescent="0.25">
      <c r="A39" s="29"/>
      <c r="B39" s="29"/>
      <c r="C39" s="29"/>
      <c r="D39" s="350"/>
      <c r="E39" s="350"/>
      <c r="F39" s="29"/>
      <c r="G39" s="23"/>
      <c r="H39" s="23"/>
    </row>
    <row r="40" spans="1:8" x14ac:dyDescent="0.25">
      <c r="A40" s="344" t="s">
        <v>1141</v>
      </c>
      <c r="B40" s="345" t="s">
        <v>1142</v>
      </c>
      <c r="C40" s="345" t="s">
        <v>1112</v>
      </c>
      <c r="D40" s="339">
        <v>357747</v>
      </c>
      <c r="E40" s="339">
        <v>108736</v>
      </c>
      <c r="F40" s="411">
        <f>E40/D40*100</f>
        <v>30.394664385725108</v>
      </c>
      <c r="G40" s="23"/>
      <c r="H40" s="23"/>
    </row>
    <row r="41" spans="1:8" x14ac:dyDescent="0.25">
      <c r="A41" s="309"/>
      <c r="B41" s="29"/>
      <c r="C41" s="29"/>
      <c r="D41" s="350"/>
      <c r="E41" s="350"/>
      <c r="F41" s="29"/>
      <c r="G41" s="23"/>
      <c r="H41" s="23"/>
    </row>
    <row r="42" spans="1:8" x14ac:dyDescent="0.25">
      <c r="A42" s="309"/>
      <c r="B42" s="23"/>
      <c r="C42" s="23"/>
      <c r="D42" s="23"/>
      <c r="E42" s="23"/>
      <c r="F42" s="23"/>
      <c r="G42" s="23"/>
      <c r="H42" s="23"/>
    </row>
    <row r="43" spans="1:8" x14ac:dyDescent="0.25">
      <c r="A43" s="23"/>
      <c r="B43" s="23"/>
      <c r="C43" s="23"/>
      <c r="D43" s="23"/>
      <c r="E43" s="23"/>
      <c r="F43" s="23"/>
      <c r="G43" s="23"/>
      <c r="H43" s="23"/>
    </row>
    <row r="44" spans="1:8" x14ac:dyDescent="0.25">
      <c r="A44" s="344" t="s">
        <v>1145</v>
      </c>
      <c r="B44" s="345" t="s">
        <v>1146</v>
      </c>
      <c r="C44" s="345" t="s">
        <v>1135</v>
      </c>
      <c r="D44" s="339">
        <v>96111</v>
      </c>
      <c r="E44" s="339">
        <v>23292</v>
      </c>
      <c r="F44" s="341">
        <f>E44/D44*100</f>
        <v>24.234478883790615</v>
      </c>
      <c r="G44" s="23"/>
      <c r="H44" s="23"/>
    </row>
    <row r="45" spans="1:8" x14ac:dyDescent="0.25">
      <c r="A45" s="29"/>
      <c r="B45" s="29"/>
      <c r="C45" s="29"/>
      <c r="D45" s="350"/>
      <c r="E45" s="350"/>
      <c r="F45" s="29"/>
      <c r="G45" s="23"/>
      <c r="H45" s="23"/>
    </row>
    <row r="46" spans="1:8" x14ac:dyDescent="0.25">
      <c r="A46" s="29"/>
      <c r="B46" s="29"/>
      <c r="C46" s="29"/>
      <c r="D46" s="350"/>
      <c r="E46" s="350"/>
      <c r="F46" s="29"/>
      <c r="G46" s="23"/>
      <c r="H46" s="23"/>
    </row>
    <row r="47" spans="1:8" x14ac:dyDescent="0.25">
      <c r="A47" s="344" t="s">
        <v>1147</v>
      </c>
      <c r="B47" s="345" t="s">
        <v>1148</v>
      </c>
      <c r="C47" s="345" t="s">
        <v>1149</v>
      </c>
      <c r="D47" s="339">
        <v>58735</v>
      </c>
      <c r="E47" s="339">
        <v>24707</v>
      </c>
      <c r="F47" s="411">
        <f>E47/D47*100</f>
        <v>42.06520813824806</v>
      </c>
      <c r="G47" s="23"/>
      <c r="H47" s="23"/>
    </row>
    <row r="48" spans="1:8" x14ac:dyDescent="0.25">
      <c r="A48" s="29"/>
      <c r="B48" s="29"/>
      <c r="C48" s="29"/>
      <c r="D48" s="350"/>
      <c r="E48" s="350"/>
      <c r="F48" s="29"/>
      <c r="G48" s="23"/>
      <c r="H48" s="23"/>
    </row>
    <row r="49" spans="1:8" x14ac:dyDescent="0.25">
      <c r="A49" s="344" t="s">
        <v>1150</v>
      </c>
      <c r="B49" s="345" t="s">
        <v>1151</v>
      </c>
      <c r="C49" s="345" t="s">
        <v>1152</v>
      </c>
      <c r="D49" s="339">
        <v>471595</v>
      </c>
      <c r="E49" s="339">
        <v>192612</v>
      </c>
      <c r="F49" s="411">
        <f>E49/D49*100</f>
        <v>40.842672208144698</v>
      </c>
      <c r="G49" s="23"/>
      <c r="H49" s="23"/>
    </row>
    <row r="50" spans="1:8" x14ac:dyDescent="0.25">
      <c r="A50" s="29"/>
      <c r="B50" s="29"/>
      <c r="C50" s="29"/>
      <c r="D50" s="350"/>
      <c r="E50" s="350"/>
      <c r="F50" s="29"/>
      <c r="G50" s="23"/>
      <c r="H50" s="23"/>
    </row>
    <row r="51" spans="1:8" x14ac:dyDescent="0.25">
      <c r="A51" s="29"/>
      <c r="B51" s="29"/>
      <c r="C51" s="29"/>
      <c r="D51" s="350"/>
      <c r="E51" s="350"/>
      <c r="F51" s="29"/>
      <c r="G51" s="23"/>
      <c r="H51" s="23"/>
    </row>
    <row r="52" spans="1:8" x14ac:dyDescent="0.25">
      <c r="A52" s="344" t="s">
        <v>1154</v>
      </c>
      <c r="B52" s="345" t="s">
        <v>50</v>
      </c>
      <c r="C52" s="345" t="s">
        <v>1122</v>
      </c>
      <c r="D52" s="339">
        <v>209308</v>
      </c>
      <c r="E52" s="346">
        <v>129914</v>
      </c>
      <c r="F52" s="341">
        <f>E52/D52*100</f>
        <v>62.068339480574089</v>
      </c>
      <c r="G52" s="23"/>
      <c r="H52" s="23"/>
    </row>
    <row r="53" spans="1:8" x14ac:dyDescent="0.25">
      <c r="A53" s="347"/>
      <c r="B53" s="29"/>
      <c r="C53" s="29"/>
      <c r="D53" s="350"/>
      <c r="E53" s="350"/>
      <c r="F53" s="353"/>
      <c r="G53" s="23"/>
      <c r="H53" s="23"/>
    </row>
    <row r="54" spans="1:8" x14ac:dyDescent="0.25">
      <c r="A54" s="29"/>
      <c r="B54" s="29"/>
      <c r="C54" s="29"/>
      <c r="D54" s="350"/>
      <c r="E54" s="350"/>
      <c r="F54" s="29"/>
      <c r="G54" s="23"/>
      <c r="H54" s="23"/>
    </row>
    <row r="55" spans="1:8" x14ac:dyDescent="0.25">
      <c r="A55" s="337" t="s">
        <v>1155</v>
      </c>
      <c r="B55" s="338" t="s">
        <v>1156</v>
      </c>
      <c r="C55" s="338" t="s">
        <v>1122</v>
      </c>
      <c r="D55" s="354">
        <v>74753</v>
      </c>
      <c r="E55" s="354">
        <v>29606</v>
      </c>
      <c r="F55" s="411">
        <f>E55/D55*100</f>
        <v>39.605099460891203</v>
      </c>
      <c r="G55" s="23"/>
      <c r="H55" s="23"/>
    </row>
    <row r="56" spans="1:8" x14ac:dyDescent="0.25">
      <c r="A56" s="342"/>
      <c r="B56" s="342"/>
      <c r="C56" s="342"/>
      <c r="D56" s="343"/>
      <c r="E56" s="343"/>
      <c r="F56" s="342"/>
      <c r="G56" s="23"/>
      <c r="H56" s="23"/>
    </row>
    <row r="57" spans="1:8" x14ac:dyDescent="0.25">
      <c r="A57" s="23"/>
      <c r="B57" s="23"/>
      <c r="C57" s="23"/>
      <c r="D57" s="23"/>
      <c r="E57" s="23"/>
      <c r="F57" s="23"/>
      <c r="G57" s="23"/>
      <c r="H57" s="23"/>
    </row>
    <row r="58" spans="1:8" x14ac:dyDescent="0.25">
      <c r="A58" s="344" t="s">
        <v>1160</v>
      </c>
      <c r="B58" s="345" t="s">
        <v>1161</v>
      </c>
      <c r="C58" s="345" t="s">
        <v>1159</v>
      </c>
      <c r="D58" s="339">
        <v>200000</v>
      </c>
      <c r="E58" s="339">
        <v>154935</v>
      </c>
      <c r="F58" s="411">
        <f>E58/D58*100</f>
        <v>77.467500000000001</v>
      </c>
      <c r="G58" s="23"/>
      <c r="H58" s="23"/>
    </row>
    <row r="59" spans="1:8" x14ac:dyDescent="0.25">
      <c r="A59" s="309"/>
      <c r="B59" s="29"/>
      <c r="C59" s="29"/>
      <c r="D59" s="350"/>
      <c r="E59" s="350"/>
      <c r="F59" s="29"/>
      <c r="G59" s="23"/>
      <c r="H59" s="23"/>
    </row>
    <row r="60" spans="1:8" x14ac:dyDescent="0.25">
      <c r="A60" s="309"/>
      <c r="B60" s="29"/>
      <c r="C60" s="29"/>
      <c r="D60" s="350"/>
      <c r="E60" s="350"/>
      <c r="F60" s="29"/>
      <c r="G60" s="23"/>
      <c r="H60" s="23"/>
    </row>
    <row r="61" spans="1:8" x14ac:dyDescent="0.25">
      <c r="A61" s="309"/>
      <c r="B61" s="29"/>
      <c r="C61" s="29"/>
      <c r="D61" s="350"/>
      <c r="E61" s="350"/>
      <c r="F61" s="29"/>
      <c r="G61" s="23"/>
      <c r="H61" s="23"/>
    </row>
    <row r="62" spans="1:8" x14ac:dyDescent="0.25">
      <c r="A62" s="345"/>
      <c r="B62" s="334" t="s">
        <v>1164</v>
      </c>
      <c r="C62" s="334"/>
      <c r="D62" s="358">
        <f>SUM(D5:D58)</f>
        <v>3087934</v>
      </c>
      <c r="E62" s="358">
        <f>SUM(E5:E60)</f>
        <v>1433023</v>
      </c>
      <c r="F62" s="341">
        <f>E62/D62*100</f>
        <v>46.407177096401668</v>
      </c>
      <c r="G62" s="23"/>
      <c r="H62" s="23"/>
    </row>
    <row r="63" spans="1:8" x14ac:dyDescent="0.25">
      <c r="A63" s="23"/>
      <c r="B63" s="23"/>
      <c r="C63" s="23"/>
      <c r="D63" s="23"/>
      <c r="E63" s="23"/>
      <c r="F63" s="23"/>
      <c r="G63" s="23"/>
      <c r="H63" s="23"/>
    </row>
    <row r="64" spans="1:8" x14ac:dyDescent="0.25">
      <c r="A64" s="23"/>
      <c r="B64" s="23"/>
      <c r="C64" s="23"/>
      <c r="D64" s="416"/>
      <c r="E64" s="23"/>
      <c r="F64" s="23"/>
      <c r="G64" s="23"/>
      <c r="H64" s="23"/>
    </row>
    <row r="65" spans="1:8" ht="15.75" x14ac:dyDescent="0.25">
      <c r="A65" s="417" t="s">
        <v>1224</v>
      </c>
      <c r="B65" s="147"/>
      <c r="C65" s="147"/>
      <c r="D65" s="147"/>
      <c r="E65" s="147"/>
      <c r="F65" s="147"/>
      <c r="G65" s="23"/>
      <c r="H65" s="23"/>
    </row>
    <row r="66" spans="1:8" x14ac:dyDescent="0.25">
      <c r="A66" s="147"/>
      <c r="B66" s="147"/>
      <c r="C66" s="147"/>
      <c r="D66" s="147"/>
      <c r="E66" s="147"/>
      <c r="F66" s="147"/>
      <c r="G66" s="23"/>
      <c r="H66" s="23"/>
    </row>
    <row r="67" spans="1:8" x14ac:dyDescent="0.25">
      <c r="A67" s="147"/>
      <c r="B67" s="147"/>
      <c r="C67" s="147"/>
      <c r="D67" s="147"/>
      <c r="E67" s="147"/>
      <c r="F67" s="147"/>
      <c r="G67" s="23"/>
      <c r="H67" s="23"/>
    </row>
    <row r="68" spans="1:8" x14ac:dyDescent="0.25">
      <c r="A68" s="23"/>
      <c r="B68" s="23"/>
      <c r="C68" s="23"/>
      <c r="D68" s="23"/>
      <c r="E68" s="23"/>
      <c r="F68" s="23"/>
      <c r="G68" s="23"/>
      <c r="H68" s="23"/>
    </row>
  </sheetData>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topLeftCell="B1" zoomScale="60" zoomScaleNormal="90" workbookViewId="0">
      <selection activeCell="D17" sqref="D17"/>
    </sheetView>
  </sheetViews>
  <sheetFormatPr defaultRowHeight="15" x14ac:dyDescent="0.25"/>
  <cols>
    <col min="1" max="1" width="35.5703125" customWidth="1"/>
    <col min="2" max="2" width="13.5703125" customWidth="1"/>
    <col min="3" max="3" width="14" customWidth="1"/>
    <col min="4" max="4" width="13.5703125" customWidth="1"/>
    <col min="5" max="5" width="12.140625" customWidth="1"/>
    <col min="6" max="6" width="15" customWidth="1"/>
    <col min="7" max="7" width="12.42578125" customWidth="1"/>
    <col min="14" max="14" width="14" customWidth="1"/>
  </cols>
  <sheetData>
    <row r="1" spans="1:15" x14ac:dyDescent="0.25">
      <c r="A1" s="333" t="s">
        <v>1225</v>
      </c>
      <c r="B1" s="23"/>
      <c r="C1" s="23"/>
      <c r="D1" s="23"/>
      <c r="E1" s="23"/>
      <c r="F1" s="23"/>
      <c r="G1" s="23"/>
      <c r="H1" s="23"/>
      <c r="I1" s="23"/>
      <c r="J1" s="23"/>
      <c r="K1" s="23"/>
      <c r="L1" s="23"/>
      <c r="M1" s="147"/>
      <c r="N1" s="23"/>
      <c r="O1" s="23"/>
    </row>
    <row r="2" spans="1:15" x14ac:dyDescent="0.25">
      <c r="A2" s="23"/>
      <c r="B2" s="333" t="s">
        <v>1226</v>
      </c>
      <c r="C2" s="333" t="s">
        <v>1227</v>
      </c>
      <c r="D2" s="333" t="s">
        <v>1228</v>
      </c>
      <c r="E2" s="333" t="s">
        <v>1229</v>
      </c>
      <c r="F2" s="333" t="s">
        <v>1230</v>
      </c>
      <c r="G2" s="333" t="s">
        <v>1231</v>
      </c>
      <c r="H2" s="333" t="s">
        <v>1232</v>
      </c>
      <c r="I2" s="333" t="s">
        <v>1233</v>
      </c>
      <c r="J2" s="333" t="s">
        <v>1234</v>
      </c>
      <c r="K2" s="333" t="s">
        <v>1235</v>
      </c>
      <c r="L2" s="333" t="s">
        <v>1236</v>
      </c>
      <c r="M2" s="327" t="s">
        <v>1237</v>
      </c>
      <c r="N2" s="23"/>
      <c r="O2" s="23"/>
    </row>
    <row r="3" spans="1:15" x14ac:dyDescent="0.25">
      <c r="A3" s="345" t="s">
        <v>1238</v>
      </c>
      <c r="B3" s="339">
        <v>828721</v>
      </c>
      <c r="C3" s="339">
        <v>533135</v>
      </c>
      <c r="D3" s="339">
        <v>309903</v>
      </c>
      <c r="E3" s="339">
        <v>391997</v>
      </c>
      <c r="F3" s="339">
        <v>292979</v>
      </c>
      <c r="G3" s="339">
        <v>1193504</v>
      </c>
      <c r="H3" s="339"/>
      <c r="I3" s="339"/>
      <c r="J3" s="339"/>
      <c r="K3" s="346"/>
      <c r="L3" s="339"/>
      <c r="M3" s="346"/>
      <c r="N3" s="339">
        <f>SUM(B3:M3)</f>
        <v>3550239</v>
      </c>
      <c r="O3" s="23"/>
    </row>
    <row r="4" spans="1:15" x14ac:dyDescent="0.25">
      <c r="A4" s="345" t="s">
        <v>1239</v>
      </c>
      <c r="B4" s="339">
        <v>668194</v>
      </c>
      <c r="C4" s="339">
        <v>788063</v>
      </c>
      <c r="D4" s="339">
        <v>663816</v>
      </c>
      <c r="E4" s="339">
        <v>702321</v>
      </c>
      <c r="F4" s="339">
        <v>310967</v>
      </c>
      <c r="G4" s="339">
        <v>866505</v>
      </c>
      <c r="H4" s="339"/>
      <c r="I4" s="339"/>
      <c r="J4" s="339"/>
      <c r="K4" s="346"/>
      <c r="L4" s="339"/>
      <c r="M4" s="346"/>
      <c r="N4" s="339">
        <f t="shared" ref="N4:N27" si="0">SUM(B4:M4)</f>
        <v>3999866</v>
      </c>
      <c r="O4" s="23"/>
    </row>
    <row r="5" spans="1:15" x14ac:dyDescent="0.25">
      <c r="A5" s="345" t="s">
        <v>1240</v>
      </c>
      <c r="B5" s="339">
        <v>98571</v>
      </c>
      <c r="C5" s="339">
        <v>144774</v>
      </c>
      <c r="D5" s="339">
        <v>113290</v>
      </c>
      <c r="E5" s="339">
        <v>95717</v>
      </c>
      <c r="F5" s="339">
        <v>53656</v>
      </c>
      <c r="G5" s="339">
        <v>110017</v>
      </c>
      <c r="H5" s="339"/>
      <c r="I5" s="339"/>
      <c r="J5" s="339"/>
      <c r="K5" s="346"/>
      <c r="L5" s="339"/>
      <c r="M5" s="346"/>
      <c r="N5" s="339">
        <f t="shared" si="0"/>
        <v>616025</v>
      </c>
      <c r="O5" s="23"/>
    </row>
    <row r="6" spans="1:15" x14ac:dyDescent="0.25">
      <c r="A6" s="345" t="s">
        <v>1241</v>
      </c>
      <c r="B6" s="339">
        <v>5947</v>
      </c>
      <c r="C6" s="339">
        <v>8418</v>
      </c>
      <c r="D6" s="339">
        <v>8075</v>
      </c>
      <c r="E6" s="339">
        <v>1735</v>
      </c>
      <c r="F6" s="339">
        <v>5961</v>
      </c>
      <c r="G6" s="339">
        <v>3518</v>
      </c>
      <c r="H6" s="339"/>
      <c r="I6" s="339"/>
      <c r="J6" s="339"/>
      <c r="K6" s="346"/>
      <c r="L6" s="339"/>
      <c r="M6" s="346"/>
      <c r="N6" s="339">
        <f t="shared" si="0"/>
        <v>33654</v>
      </c>
      <c r="O6" s="23"/>
    </row>
    <row r="7" spans="1:15" x14ac:dyDescent="0.25">
      <c r="A7" s="345" t="s">
        <v>1242</v>
      </c>
      <c r="B7" s="339">
        <v>0</v>
      </c>
      <c r="C7" s="339">
        <v>0</v>
      </c>
      <c r="D7" s="339">
        <v>0</v>
      </c>
      <c r="E7" s="339">
        <v>117707</v>
      </c>
      <c r="F7" s="339">
        <v>0</v>
      </c>
      <c r="G7" s="339">
        <v>1315017</v>
      </c>
      <c r="H7" s="339"/>
      <c r="I7" s="339"/>
      <c r="J7" s="339"/>
      <c r="K7" s="346"/>
      <c r="L7" s="339"/>
      <c r="M7" s="346"/>
      <c r="N7" s="339">
        <f t="shared" si="0"/>
        <v>1432724</v>
      </c>
      <c r="O7" s="23"/>
    </row>
    <row r="8" spans="1:15" x14ac:dyDescent="0.25">
      <c r="A8" s="345" t="s">
        <v>1243</v>
      </c>
      <c r="B8" s="339">
        <v>296885</v>
      </c>
      <c r="C8" s="339">
        <v>574207</v>
      </c>
      <c r="D8" s="339">
        <v>562415</v>
      </c>
      <c r="E8" s="339">
        <v>588192</v>
      </c>
      <c r="F8" s="339">
        <v>591780</v>
      </c>
      <c r="G8" s="339">
        <v>483503</v>
      </c>
      <c r="H8" s="339"/>
      <c r="I8" s="339"/>
      <c r="J8" s="339"/>
      <c r="K8" s="346"/>
      <c r="L8" s="339"/>
      <c r="M8" s="346"/>
      <c r="N8" s="339">
        <f t="shared" si="0"/>
        <v>3096982</v>
      </c>
      <c r="O8" s="23"/>
    </row>
    <row r="9" spans="1:15" x14ac:dyDescent="0.25">
      <c r="A9" s="345" t="s">
        <v>1244</v>
      </c>
      <c r="B9" s="339">
        <v>8940</v>
      </c>
      <c r="C9" s="339">
        <v>9445</v>
      </c>
      <c r="D9" s="339">
        <v>5350</v>
      </c>
      <c r="E9" s="339">
        <v>1925</v>
      </c>
      <c r="F9" s="339">
        <v>5880</v>
      </c>
      <c r="G9" s="339">
        <v>10040</v>
      </c>
      <c r="H9" s="339"/>
      <c r="I9" s="339"/>
      <c r="J9" s="339"/>
      <c r="K9" s="346"/>
      <c r="L9" s="339"/>
      <c r="M9" s="346"/>
      <c r="N9" s="339">
        <f t="shared" si="0"/>
        <v>41580</v>
      </c>
      <c r="O9" s="23"/>
    </row>
    <row r="10" spans="1:15" x14ac:dyDescent="0.25">
      <c r="A10" s="345" t="s">
        <v>1245</v>
      </c>
      <c r="B10" s="339">
        <v>505993</v>
      </c>
      <c r="C10" s="339">
        <v>154963</v>
      </c>
      <c r="D10" s="339">
        <v>244130</v>
      </c>
      <c r="E10" s="339">
        <v>220593</v>
      </c>
      <c r="F10" s="339">
        <v>94254</v>
      </c>
      <c r="G10" s="339">
        <v>280736</v>
      </c>
      <c r="H10" s="339"/>
      <c r="I10" s="339"/>
      <c r="J10" s="339"/>
      <c r="K10" s="346"/>
      <c r="L10" s="339"/>
      <c r="M10" s="346"/>
      <c r="N10" s="339">
        <f t="shared" si="0"/>
        <v>1500669</v>
      </c>
      <c r="O10" s="23"/>
    </row>
    <row r="11" spans="1:15" x14ac:dyDescent="0.25">
      <c r="A11" s="345" t="s">
        <v>1246</v>
      </c>
      <c r="B11" s="339">
        <v>150069</v>
      </c>
      <c r="C11" s="339">
        <v>161920</v>
      </c>
      <c r="D11" s="339">
        <v>98693</v>
      </c>
      <c r="E11" s="339">
        <v>131260</v>
      </c>
      <c r="F11" s="339">
        <v>214200</v>
      </c>
      <c r="G11" s="339">
        <v>137454</v>
      </c>
      <c r="H11" s="339"/>
      <c r="I11" s="339"/>
      <c r="J11" s="339"/>
      <c r="K11" s="346"/>
      <c r="L11" s="339"/>
      <c r="M11" s="346"/>
      <c r="N11" s="339">
        <f t="shared" si="0"/>
        <v>893596</v>
      </c>
      <c r="O11" s="23"/>
    </row>
    <row r="12" spans="1:15" x14ac:dyDescent="0.25">
      <c r="A12" s="345" t="s">
        <v>1247</v>
      </c>
      <c r="B12" s="339">
        <f>66337000+1600000</f>
        <v>67937000</v>
      </c>
      <c r="C12" s="339">
        <f>692000+934000</f>
        <v>1626000</v>
      </c>
      <c r="D12" s="339">
        <v>0</v>
      </c>
      <c r="E12" s="339">
        <v>0</v>
      </c>
      <c r="F12" s="339">
        <v>0</v>
      </c>
      <c r="G12" s="339"/>
      <c r="H12" s="339"/>
      <c r="I12" s="339"/>
      <c r="J12" s="339"/>
      <c r="K12" s="346"/>
      <c r="L12" s="339"/>
      <c r="M12" s="346"/>
      <c r="N12" s="339">
        <f t="shared" si="0"/>
        <v>69563000</v>
      </c>
      <c r="O12" s="23"/>
    </row>
    <row r="13" spans="1:15" x14ac:dyDescent="0.25">
      <c r="A13" s="345" t="s">
        <v>1248</v>
      </c>
      <c r="B13" s="339">
        <f>8611+250547+8596</f>
        <v>267754</v>
      </c>
      <c r="C13" s="339">
        <f>9714+289203+7158</f>
        <v>306075</v>
      </c>
      <c r="D13" s="339">
        <f>15782+254453+8404+234231</f>
        <v>512870</v>
      </c>
      <c r="E13" s="339">
        <v>232257</v>
      </c>
      <c r="F13" s="339">
        <f>6811+198857+6360</f>
        <v>212028</v>
      </c>
      <c r="G13" s="339">
        <f>169579+31160+157839+5553</f>
        <v>364131</v>
      </c>
      <c r="H13" s="339"/>
      <c r="I13" s="339"/>
      <c r="J13" s="339"/>
      <c r="K13" s="346"/>
      <c r="L13" s="339"/>
      <c r="M13" s="346"/>
      <c r="N13" s="339">
        <f t="shared" si="0"/>
        <v>1895115</v>
      </c>
      <c r="O13" s="23"/>
    </row>
    <row r="14" spans="1:15" x14ac:dyDescent="0.25">
      <c r="A14" s="345"/>
      <c r="B14" s="358">
        <f t="shared" ref="B14:G14" si="1">SUM(B3:B13)</f>
        <v>70768074</v>
      </c>
      <c r="C14" s="358">
        <f t="shared" si="1"/>
        <v>4307000</v>
      </c>
      <c r="D14" s="358">
        <f t="shared" si="1"/>
        <v>2518542</v>
      </c>
      <c r="E14" s="358">
        <f t="shared" si="1"/>
        <v>2483704</v>
      </c>
      <c r="F14" s="358">
        <f t="shared" si="1"/>
        <v>1781705</v>
      </c>
      <c r="G14" s="358">
        <f t="shared" si="1"/>
        <v>4764425</v>
      </c>
      <c r="H14" s="339"/>
      <c r="I14" s="339"/>
      <c r="J14" s="339"/>
      <c r="K14" s="346"/>
      <c r="L14" s="339"/>
      <c r="M14" s="346"/>
      <c r="N14" s="358">
        <f t="shared" ref="N14" si="2">SUM(N3:N13)</f>
        <v>86623450</v>
      </c>
      <c r="O14" s="23"/>
    </row>
    <row r="15" spans="1:15" x14ac:dyDescent="0.25">
      <c r="A15" s="345"/>
      <c r="B15" s="339"/>
      <c r="C15" s="339"/>
      <c r="D15" s="339"/>
      <c r="E15" s="339"/>
      <c r="F15" s="339"/>
      <c r="G15" s="339"/>
      <c r="H15" s="339"/>
      <c r="I15" s="339"/>
      <c r="J15" s="339"/>
      <c r="K15" s="339"/>
      <c r="L15" s="339"/>
      <c r="M15" s="346"/>
      <c r="N15" s="339"/>
      <c r="O15" s="23"/>
    </row>
    <row r="16" spans="1:15" x14ac:dyDescent="0.25">
      <c r="A16" s="334" t="s">
        <v>1249</v>
      </c>
      <c r="B16" s="339"/>
      <c r="C16" s="339"/>
      <c r="D16" s="339"/>
      <c r="E16" s="339"/>
      <c r="F16" s="339"/>
      <c r="G16" s="339"/>
      <c r="H16" s="339"/>
      <c r="I16" s="339"/>
      <c r="J16" s="339"/>
      <c r="K16" s="339"/>
      <c r="L16" s="339"/>
      <c r="M16" s="346"/>
      <c r="N16" s="339"/>
      <c r="O16" s="23"/>
    </row>
    <row r="17" spans="1:15" x14ac:dyDescent="0.25">
      <c r="A17" s="345" t="s">
        <v>1250</v>
      </c>
      <c r="B17" s="339">
        <v>14540000</v>
      </c>
      <c r="C17" s="339">
        <v>0</v>
      </c>
      <c r="D17" s="339">
        <v>0</v>
      </c>
      <c r="E17" s="339"/>
      <c r="F17" s="339"/>
      <c r="G17" s="339">
        <v>19480000</v>
      </c>
      <c r="H17" s="339"/>
      <c r="I17" s="339"/>
      <c r="J17" s="339"/>
      <c r="K17" s="339"/>
      <c r="L17" s="339"/>
      <c r="M17" s="346"/>
      <c r="N17" s="339"/>
      <c r="O17" s="23"/>
    </row>
    <row r="18" spans="1:15" x14ac:dyDescent="0.25">
      <c r="A18" s="345"/>
      <c r="B18" s="339"/>
      <c r="C18" s="339"/>
      <c r="D18" s="339"/>
      <c r="E18" s="339"/>
      <c r="F18" s="339"/>
      <c r="G18" s="339"/>
      <c r="H18" s="339"/>
      <c r="I18" s="339"/>
      <c r="J18" s="339"/>
      <c r="K18" s="339"/>
      <c r="L18" s="339"/>
      <c r="M18" s="346"/>
      <c r="N18" s="339"/>
      <c r="O18" s="23"/>
    </row>
    <row r="19" spans="1:15" ht="17.25" x14ac:dyDescent="0.4">
      <c r="A19" s="345"/>
      <c r="B19" s="418">
        <f>SUM(B14:B17)</f>
        <v>85308074</v>
      </c>
      <c r="C19" s="418">
        <f>SUM(C14:C17)</f>
        <v>4307000</v>
      </c>
      <c r="D19" s="418">
        <f>SUM(D14:D17)</f>
        <v>2518542</v>
      </c>
      <c r="E19" s="418">
        <f t="shared" ref="E19:N19" si="3">SUM(E14:E17)</f>
        <v>2483704</v>
      </c>
      <c r="F19" s="418">
        <f t="shared" si="3"/>
        <v>1781705</v>
      </c>
      <c r="G19" s="418">
        <f t="shared" si="3"/>
        <v>24244425</v>
      </c>
      <c r="H19" s="418">
        <f t="shared" si="3"/>
        <v>0</v>
      </c>
      <c r="I19" s="418">
        <f t="shared" si="3"/>
        <v>0</v>
      </c>
      <c r="J19" s="418">
        <f t="shared" si="3"/>
        <v>0</v>
      </c>
      <c r="K19" s="418">
        <f t="shared" si="3"/>
        <v>0</v>
      </c>
      <c r="L19" s="418">
        <f t="shared" si="3"/>
        <v>0</v>
      </c>
      <c r="M19" s="418">
        <f t="shared" si="3"/>
        <v>0</v>
      </c>
      <c r="N19" s="358">
        <f t="shared" si="3"/>
        <v>86623450</v>
      </c>
      <c r="O19" s="23"/>
    </row>
    <row r="20" spans="1:15" x14ac:dyDescent="0.25">
      <c r="A20" s="345"/>
      <c r="B20" s="339"/>
      <c r="C20" s="339"/>
      <c r="D20" s="339"/>
      <c r="E20" s="339"/>
      <c r="F20" s="339"/>
      <c r="G20" s="339"/>
      <c r="H20" s="339"/>
      <c r="I20" s="339"/>
      <c r="J20" s="339"/>
      <c r="K20" s="339"/>
      <c r="L20" s="339"/>
      <c r="M20" s="346"/>
      <c r="N20" s="339"/>
      <c r="O20" s="23"/>
    </row>
    <row r="21" spans="1:15" x14ac:dyDescent="0.25">
      <c r="A21" s="334" t="s">
        <v>1251</v>
      </c>
      <c r="B21" s="339"/>
      <c r="C21" s="339"/>
      <c r="D21" s="339"/>
      <c r="E21" s="339"/>
      <c r="F21" s="339"/>
      <c r="G21" s="339"/>
      <c r="H21" s="339"/>
      <c r="I21" s="339"/>
      <c r="J21" s="339"/>
      <c r="K21" s="339"/>
      <c r="L21" s="339"/>
      <c r="M21" s="346"/>
      <c r="N21" s="339"/>
      <c r="O21" s="23"/>
    </row>
    <row r="22" spans="1:15" x14ac:dyDescent="0.25">
      <c r="A22" s="345" t="s">
        <v>1252</v>
      </c>
      <c r="B22" s="339">
        <f>5290410-48365-461575</f>
        <v>4780470</v>
      </c>
      <c r="C22" s="339">
        <f>4901528-30310-351588</f>
        <v>4519630</v>
      </c>
      <c r="D22" s="339">
        <f>5173988-33105-425675</f>
        <v>4715208</v>
      </c>
      <c r="E22" s="339">
        <v>4492869</v>
      </c>
      <c r="F22" s="339">
        <f>4884834-23541-339999</f>
        <v>4521294</v>
      </c>
      <c r="G22" s="339">
        <f>4943934-26709-352156</f>
        <v>4565069</v>
      </c>
      <c r="H22" s="339"/>
      <c r="I22" s="339"/>
      <c r="J22" s="339"/>
      <c r="K22" s="339"/>
      <c r="L22" s="339"/>
      <c r="M22" s="346"/>
      <c r="N22" s="339">
        <f t="shared" si="0"/>
        <v>27594540</v>
      </c>
      <c r="O22" s="23"/>
    </row>
    <row r="23" spans="1:15" x14ac:dyDescent="0.25">
      <c r="A23" s="345" t="s">
        <v>1253</v>
      </c>
      <c r="B23" s="339">
        <f>150236+132310+58224+46927+865849</f>
        <v>1253546</v>
      </c>
      <c r="C23" s="339">
        <f>150236+132309+58225+46927+865849</f>
        <v>1253546</v>
      </c>
      <c r="D23" s="339">
        <f>150236+132310+58225+46927+865849</f>
        <v>1253547</v>
      </c>
      <c r="E23" s="339">
        <v>1253547</v>
      </c>
      <c r="F23" s="339">
        <f>150236+132310+58225+46927+865849</f>
        <v>1253547</v>
      </c>
      <c r="G23" s="339">
        <f>150236+177481+58225+46927+852814</f>
        <v>1285683</v>
      </c>
      <c r="H23" s="339"/>
      <c r="I23" s="339"/>
      <c r="J23" s="339"/>
      <c r="K23" s="339"/>
      <c r="L23" s="339"/>
      <c r="M23" s="346"/>
      <c r="N23" s="339">
        <f t="shared" si="0"/>
        <v>7553416</v>
      </c>
      <c r="O23" s="23"/>
    </row>
    <row r="24" spans="1:15" x14ac:dyDescent="0.25">
      <c r="A24" s="345" t="s">
        <v>1254</v>
      </c>
      <c r="B24" s="339">
        <v>0</v>
      </c>
      <c r="C24" s="339">
        <v>0</v>
      </c>
      <c r="D24" s="339">
        <v>319425</v>
      </c>
      <c r="E24" s="339">
        <v>0</v>
      </c>
      <c r="F24" s="339">
        <v>0</v>
      </c>
      <c r="G24" s="339">
        <v>311067</v>
      </c>
      <c r="H24" s="339"/>
      <c r="I24" s="339"/>
      <c r="J24" s="339"/>
      <c r="K24" s="339"/>
      <c r="L24" s="339"/>
      <c r="M24" s="346"/>
      <c r="N24" s="339">
        <f t="shared" si="0"/>
        <v>630492</v>
      </c>
      <c r="O24" s="23"/>
    </row>
    <row r="25" spans="1:15" x14ac:dyDescent="0.25">
      <c r="A25" s="345" t="s">
        <v>1255</v>
      </c>
      <c r="B25" s="339">
        <v>1217484</v>
      </c>
      <c r="C25" s="339">
        <v>1254282</v>
      </c>
      <c r="D25" s="339">
        <v>842730</v>
      </c>
      <c r="E25" s="339">
        <v>734156</v>
      </c>
      <c r="F25" s="339">
        <v>575351</v>
      </c>
      <c r="G25" s="339">
        <v>495612</v>
      </c>
      <c r="H25" s="339"/>
      <c r="I25" s="339"/>
      <c r="J25" s="339"/>
      <c r="K25" s="339"/>
      <c r="L25" s="339"/>
      <c r="M25" s="346"/>
      <c r="N25" s="339">
        <f t="shared" si="0"/>
        <v>5119615</v>
      </c>
      <c r="O25" s="23"/>
    </row>
    <row r="26" spans="1:15" x14ac:dyDescent="0.25">
      <c r="A26" s="345" t="s">
        <v>1256</v>
      </c>
      <c r="B26" s="339">
        <v>444630</v>
      </c>
      <c r="C26" s="339">
        <v>521058</v>
      </c>
      <c r="D26" s="339">
        <v>604050</v>
      </c>
      <c r="E26" s="339">
        <v>1128992</v>
      </c>
      <c r="F26" s="339">
        <v>616374</v>
      </c>
      <c r="G26" s="339">
        <v>560665</v>
      </c>
      <c r="H26" s="339"/>
      <c r="I26" s="339"/>
      <c r="J26" s="339"/>
      <c r="K26" s="339"/>
      <c r="L26" s="339"/>
      <c r="M26" s="346"/>
      <c r="N26" s="339">
        <f t="shared" si="0"/>
        <v>3875769</v>
      </c>
      <c r="O26" s="23"/>
    </row>
    <row r="27" spans="1:15" x14ac:dyDescent="0.25">
      <c r="A27" s="345" t="s">
        <v>1257</v>
      </c>
      <c r="B27" s="339">
        <f>11355595-7697130-1469166-97927</f>
        <v>2091372</v>
      </c>
      <c r="C27" s="339">
        <f>11985793-7548516-9849-1058398</f>
        <v>3369030</v>
      </c>
      <c r="D27" s="339">
        <v>3414237</v>
      </c>
      <c r="E27" s="339">
        <v>2835106</v>
      </c>
      <c r="F27" s="339">
        <f>10630775-6966566-51178-1426232</f>
        <v>2186799</v>
      </c>
      <c r="G27" s="339">
        <f>13518344-7218096-40459-1231795</f>
        <v>5027994</v>
      </c>
      <c r="H27" s="339"/>
      <c r="I27" s="339"/>
      <c r="J27" s="339"/>
      <c r="K27" s="339"/>
      <c r="L27" s="339"/>
      <c r="M27" s="346"/>
      <c r="N27" s="339">
        <f t="shared" si="0"/>
        <v>18924538</v>
      </c>
      <c r="O27" s="23"/>
    </row>
    <row r="28" spans="1:15" ht="17.25" x14ac:dyDescent="0.4">
      <c r="A28" s="23"/>
      <c r="B28" s="418">
        <f>SUM(B22:B27)</f>
        <v>9787502</v>
      </c>
      <c r="C28" s="418">
        <f>SUM(C22:C27)</f>
        <v>10917546</v>
      </c>
      <c r="D28" s="418">
        <f t="shared" ref="D28:N28" si="4">SUM(D22:D27)</f>
        <v>11149197</v>
      </c>
      <c r="E28" s="418">
        <f t="shared" si="4"/>
        <v>10444670</v>
      </c>
      <c r="F28" s="418">
        <f t="shared" si="4"/>
        <v>9153365</v>
      </c>
      <c r="G28" s="418">
        <f t="shared" si="4"/>
        <v>12246090</v>
      </c>
      <c r="H28" s="418">
        <f t="shared" si="4"/>
        <v>0</v>
      </c>
      <c r="I28" s="418">
        <f t="shared" si="4"/>
        <v>0</v>
      </c>
      <c r="J28" s="418">
        <f t="shared" si="4"/>
        <v>0</v>
      </c>
      <c r="K28" s="418">
        <f t="shared" si="4"/>
        <v>0</v>
      </c>
      <c r="L28" s="418">
        <f t="shared" si="4"/>
        <v>0</v>
      </c>
      <c r="M28" s="418">
        <f t="shared" si="4"/>
        <v>0</v>
      </c>
      <c r="N28" s="418">
        <f t="shared" si="4"/>
        <v>63698370</v>
      </c>
      <c r="O28" s="23"/>
    </row>
    <row r="29" spans="1:15" x14ac:dyDescent="0.25">
      <c r="A29" s="23"/>
      <c r="B29" s="23"/>
      <c r="C29" s="23"/>
      <c r="D29" s="23"/>
      <c r="E29" s="23"/>
      <c r="F29" s="23"/>
      <c r="G29" s="23"/>
      <c r="H29" s="23"/>
      <c r="I29" s="23"/>
      <c r="J29" s="23"/>
      <c r="K29" s="23"/>
      <c r="L29" s="23"/>
      <c r="M29" s="147"/>
      <c r="N29" s="23"/>
      <c r="O29" s="23"/>
    </row>
    <row r="30" spans="1:15" x14ac:dyDescent="0.25">
      <c r="A30" s="333" t="s">
        <v>1258</v>
      </c>
      <c r="B30" s="23"/>
      <c r="C30" s="23"/>
      <c r="D30" s="23"/>
      <c r="E30" s="23"/>
      <c r="F30" s="23"/>
      <c r="G30" s="23"/>
      <c r="H30" s="23"/>
      <c r="I30" s="23"/>
      <c r="J30" s="23"/>
      <c r="K30" s="23"/>
      <c r="L30" s="23"/>
      <c r="M30" s="147"/>
      <c r="N30" s="23"/>
      <c r="O30" s="23"/>
    </row>
    <row r="31" spans="1:15" x14ac:dyDescent="0.25">
      <c r="A31" s="23" t="s">
        <v>1259</v>
      </c>
      <c r="B31" s="339">
        <f>706795+2222825</f>
        <v>2929620</v>
      </c>
      <c r="C31" s="339">
        <f>3257009+4191415</f>
        <v>7448424</v>
      </c>
      <c r="D31" s="339">
        <f>7121326+1035439</f>
        <v>8156765</v>
      </c>
      <c r="E31" s="339">
        <v>676457</v>
      </c>
      <c r="F31" s="339">
        <f>9257642+1990677</f>
        <v>11248319</v>
      </c>
      <c r="G31" s="339">
        <f>18116121+1546063</f>
        <v>19662184</v>
      </c>
      <c r="H31" s="339"/>
      <c r="I31" s="339"/>
      <c r="J31" s="339"/>
      <c r="K31" s="339"/>
      <c r="L31" s="339"/>
      <c r="M31" s="346"/>
      <c r="N31" s="339">
        <f>SUM(B31:M31)</f>
        <v>50121769</v>
      </c>
      <c r="O31" s="23"/>
    </row>
    <row r="32" spans="1:15" x14ac:dyDescent="0.25">
      <c r="A32" s="23" t="s">
        <v>1260</v>
      </c>
      <c r="B32" s="339">
        <v>0</v>
      </c>
      <c r="C32" s="339">
        <v>0</v>
      </c>
      <c r="D32" s="339">
        <v>221229</v>
      </c>
      <c r="E32" s="339">
        <v>0</v>
      </c>
      <c r="F32" s="339">
        <v>0</v>
      </c>
      <c r="G32" s="339"/>
      <c r="H32" s="339">
        <v>0</v>
      </c>
      <c r="I32" s="339">
        <v>0</v>
      </c>
      <c r="J32" s="339"/>
      <c r="K32" s="339">
        <v>0</v>
      </c>
      <c r="L32" s="339">
        <v>0</v>
      </c>
      <c r="M32" s="346"/>
      <c r="N32" s="339">
        <f>SUM(B32:M32)</f>
        <v>221229</v>
      </c>
      <c r="O32" s="23"/>
    </row>
    <row r="33" spans="1:15" x14ac:dyDescent="0.25">
      <c r="A33" s="23" t="s">
        <v>1261</v>
      </c>
      <c r="B33" s="339">
        <f t="shared" ref="B33:M33" si="5">B28+B31+B32</f>
        <v>12717122</v>
      </c>
      <c r="C33" s="339">
        <f t="shared" si="5"/>
        <v>18365970</v>
      </c>
      <c r="D33" s="339">
        <f t="shared" si="5"/>
        <v>19527191</v>
      </c>
      <c r="E33" s="339">
        <f t="shared" si="5"/>
        <v>11121127</v>
      </c>
      <c r="F33" s="339">
        <f t="shared" si="5"/>
        <v>20401684</v>
      </c>
      <c r="G33" s="339">
        <f t="shared" si="5"/>
        <v>31908274</v>
      </c>
      <c r="H33" s="339">
        <f t="shared" si="5"/>
        <v>0</v>
      </c>
      <c r="I33" s="339">
        <f t="shared" si="5"/>
        <v>0</v>
      </c>
      <c r="J33" s="339">
        <f t="shared" si="5"/>
        <v>0</v>
      </c>
      <c r="K33" s="339">
        <f t="shared" si="5"/>
        <v>0</v>
      </c>
      <c r="L33" s="339">
        <f t="shared" si="5"/>
        <v>0</v>
      </c>
      <c r="M33" s="346">
        <f t="shared" si="5"/>
        <v>0</v>
      </c>
      <c r="N33" s="339">
        <f>SUM(B33:M33)</f>
        <v>114041368</v>
      </c>
      <c r="O33" s="23"/>
    </row>
    <row r="34" spans="1:15" x14ac:dyDescent="0.25">
      <c r="A34" s="23" t="s">
        <v>1262</v>
      </c>
      <c r="B34" s="339">
        <f>B19-B33</f>
        <v>72590952</v>
      </c>
      <c r="C34" s="339">
        <f t="shared" ref="C34:L34" si="6">C19-C33</f>
        <v>-14058970</v>
      </c>
      <c r="D34" s="339">
        <f t="shared" si="6"/>
        <v>-17008649</v>
      </c>
      <c r="E34" s="339">
        <f t="shared" si="6"/>
        <v>-8637423</v>
      </c>
      <c r="F34" s="339">
        <f t="shared" si="6"/>
        <v>-18619979</v>
      </c>
      <c r="G34" s="339">
        <f t="shared" si="6"/>
        <v>-7663849</v>
      </c>
      <c r="H34" s="339">
        <f t="shared" si="6"/>
        <v>0</v>
      </c>
      <c r="I34" s="339">
        <f t="shared" si="6"/>
        <v>0</v>
      </c>
      <c r="J34" s="339">
        <f t="shared" si="6"/>
        <v>0</v>
      </c>
      <c r="K34" s="339">
        <f t="shared" si="6"/>
        <v>0</v>
      </c>
      <c r="L34" s="339">
        <f t="shared" si="6"/>
        <v>0</v>
      </c>
      <c r="M34" s="346">
        <f>M31-M33</f>
        <v>0</v>
      </c>
      <c r="N34" s="339">
        <f>SUM(B34:M34)</f>
        <v>6602082</v>
      </c>
      <c r="O34" s="23"/>
    </row>
    <row r="35" spans="1:15" x14ac:dyDescent="0.25">
      <c r="A35" s="23"/>
      <c r="B35" s="23"/>
      <c r="C35" s="23"/>
      <c r="D35" s="23"/>
      <c r="E35" s="23"/>
      <c r="F35" s="23"/>
      <c r="G35" s="23"/>
      <c r="H35" s="23"/>
      <c r="I35" s="23"/>
      <c r="J35" s="23"/>
      <c r="K35" s="23"/>
      <c r="L35" s="23"/>
      <c r="M35" s="147"/>
      <c r="N35" s="23"/>
      <c r="O35" s="23"/>
    </row>
    <row r="36" spans="1:15" x14ac:dyDescent="0.25">
      <c r="A36" s="23"/>
      <c r="B36" s="23"/>
      <c r="C36" s="23"/>
      <c r="D36" s="23"/>
      <c r="E36" s="23"/>
      <c r="F36" s="23"/>
      <c r="G36" s="23"/>
      <c r="H36" s="23"/>
      <c r="I36" s="23"/>
      <c r="J36" s="23"/>
      <c r="K36" s="23"/>
      <c r="L36" s="23"/>
      <c r="M36" s="147"/>
      <c r="N36" s="23"/>
      <c r="O36" s="23"/>
    </row>
  </sheetData>
  <pageMargins left="0.70866141732283505" right="0.70866141732283505" top="0.74803149606299202" bottom="0.74803149606299202" header="0.31496062992126" footer="0.31496062992126"/>
  <pageSetup paperSize="9" scale="65" orientation="landscape"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BreakPreview" topLeftCell="A32" zoomScale="90" zoomScaleNormal="100" zoomScaleSheetLayoutView="90" workbookViewId="0">
      <selection activeCell="L9" sqref="L9"/>
    </sheetView>
  </sheetViews>
  <sheetFormatPr defaultRowHeight="15" x14ac:dyDescent="0.25"/>
  <cols>
    <col min="1" max="1" width="20" customWidth="1"/>
    <col min="2" max="2" width="19.5703125" customWidth="1"/>
    <col min="3" max="3" width="24.28515625" customWidth="1"/>
  </cols>
  <sheetData>
    <row r="1" spans="1:6" ht="18" x14ac:dyDescent="0.4">
      <c r="A1" s="419" t="s">
        <v>1282</v>
      </c>
      <c r="B1" s="420"/>
      <c r="C1" s="421"/>
      <c r="D1" s="364"/>
    </row>
    <row r="2" spans="1:6" x14ac:dyDescent="0.25">
      <c r="A2" s="23"/>
      <c r="B2" s="23"/>
      <c r="C2" s="23"/>
      <c r="D2" s="364"/>
    </row>
    <row r="3" spans="1:6" x14ac:dyDescent="0.25">
      <c r="A3" s="346" t="s">
        <v>1263</v>
      </c>
      <c r="B3" s="368">
        <v>18645604.149999999</v>
      </c>
      <c r="C3" s="23"/>
      <c r="D3" s="364"/>
    </row>
    <row r="4" spans="1:6" x14ac:dyDescent="0.25">
      <c r="A4" s="345" t="s">
        <v>1264</v>
      </c>
      <c r="B4" s="368">
        <v>31189798.149999999</v>
      </c>
      <c r="C4" s="23"/>
      <c r="D4" s="364"/>
    </row>
    <row r="5" spans="1:6" x14ac:dyDescent="0.25">
      <c r="A5" s="346" t="s">
        <v>1127</v>
      </c>
      <c r="B5" s="368">
        <v>0</v>
      </c>
      <c r="C5" s="23"/>
      <c r="D5" s="364"/>
    </row>
    <row r="6" spans="1:6" ht="15.75" thickBot="1" x14ac:dyDescent="0.3">
      <c r="A6" s="422" t="s">
        <v>7</v>
      </c>
      <c r="B6" s="423">
        <f>SUM(B3:B5)</f>
        <v>49835402.299999997</v>
      </c>
      <c r="C6" s="23"/>
      <c r="D6" s="364"/>
    </row>
    <row r="7" spans="1:6" ht="15.75" thickTop="1" x14ac:dyDescent="0.25">
      <c r="A7" s="23"/>
      <c r="B7" s="23"/>
      <c r="C7" s="23"/>
      <c r="D7" s="364"/>
    </row>
    <row r="8" spans="1:6" ht="101.25" customHeight="1" x14ac:dyDescent="0.25">
      <c r="A8" s="596" t="s">
        <v>1422</v>
      </c>
      <c r="B8" s="596"/>
      <c r="C8" s="596"/>
      <c r="D8" s="596"/>
      <c r="E8" s="596"/>
      <c r="F8" s="596"/>
    </row>
    <row r="9" spans="1:6" x14ac:dyDescent="0.25">
      <c r="A9" s="23"/>
      <c r="B9" s="23"/>
      <c r="C9" s="23"/>
      <c r="D9" s="364"/>
    </row>
    <row r="10" spans="1:6" x14ac:dyDescent="0.25">
      <c r="A10" s="23"/>
      <c r="B10" s="23"/>
      <c r="C10" s="23"/>
      <c r="D10" s="364"/>
    </row>
    <row r="11" spans="1:6" ht="15.75" x14ac:dyDescent="0.25">
      <c r="A11" s="332" t="s">
        <v>1265</v>
      </c>
      <c r="B11" s="23"/>
      <c r="C11" s="23"/>
      <c r="D11" s="364"/>
    </row>
    <row r="12" spans="1:6" x14ac:dyDescent="0.25">
      <c r="A12" s="23"/>
      <c r="B12" s="23"/>
      <c r="C12" s="23"/>
      <c r="D12" s="364"/>
    </row>
    <row r="13" spans="1:6" x14ac:dyDescent="0.25">
      <c r="A13" s="23" t="s">
        <v>1266</v>
      </c>
      <c r="B13" s="23"/>
      <c r="C13" s="23"/>
      <c r="D13" s="364"/>
    </row>
    <row r="14" spans="1:6" x14ac:dyDescent="0.25">
      <c r="A14" s="333" t="s">
        <v>1267</v>
      </c>
      <c r="B14" s="23"/>
      <c r="C14" s="23"/>
      <c r="D14" s="364"/>
    </row>
    <row r="15" spans="1:6" x14ac:dyDescent="0.25">
      <c r="A15" s="333" t="s">
        <v>1268</v>
      </c>
      <c r="B15" s="23"/>
      <c r="C15" s="23"/>
      <c r="D15" s="364"/>
    </row>
    <row r="16" spans="1:6" x14ac:dyDescent="0.25">
      <c r="A16" s="333" t="s">
        <v>1269</v>
      </c>
      <c r="B16" s="23"/>
      <c r="C16" s="23"/>
      <c r="D16" s="364"/>
    </row>
    <row r="17" spans="1:4" x14ac:dyDescent="0.25">
      <c r="A17" s="333" t="s">
        <v>1270</v>
      </c>
      <c r="B17" s="23"/>
      <c r="C17" s="23"/>
      <c r="D17" s="364"/>
    </row>
    <row r="18" spans="1:4" x14ac:dyDescent="0.25">
      <c r="A18" s="333" t="s">
        <v>1271</v>
      </c>
      <c r="B18" s="23"/>
      <c r="C18" s="23"/>
      <c r="D18" s="364"/>
    </row>
    <row r="19" spans="1:4" x14ac:dyDescent="0.25">
      <c r="A19" s="147" t="s">
        <v>1423</v>
      </c>
      <c r="B19" s="147"/>
      <c r="C19" s="13"/>
      <c r="D19" s="424"/>
    </row>
    <row r="20" spans="1:4" x14ac:dyDescent="0.25">
      <c r="A20" s="425"/>
      <c r="B20" s="147"/>
      <c r="C20" s="13"/>
      <c r="D20" s="424"/>
    </row>
    <row r="21" spans="1:4" x14ac:dyDescent="0.25">
      <c r="A21" s="23" t="s">
        <v>1272</v>
      </c>
      <c r="B21" s="23"/>
      <c r="C21" s="23"/>
      <c r="D21" s="364"/>
    </row>
    <row r="22" spans="1:4" x14ac:dyDescent="0.25">
      <c r="A22" s="23" t="s">
        <v>1273</v>
      </c>
      <c r="B22" s="23"/>
      <c r="C22" s="23"/>
      <c r="D22" s="364"/>
    </row>
    <row r="23" spans="1:4" x14ac:dyDescent="0.25">
      <c r="A23" s="23" t="s">
        <v>1274</v>
      </c>
      <c r="B23" s="23"/>
      <c r="C23" s="23"/>
      <c r="D23" s="364"/>
    </row>
    <row r="24" spans="1:4" ht="72.75" customHeight="1" x14ac:dyDescent="0.25">
      <c r="A24" s="23"/>
      <c r="B24" s="23"/>
      <c r="C24" s="23"/>
      <c r="D24" s="23"/>
    </row>
    <row r="25" spans="1:4" ht="15.75" x14ac:dyDescent="0.25">
      <c r="A25" s="332" t="s">
        <v>1275</v>
      </c>
      <c r="B25" s="386"/>
      <c r="C25" s="23"/>
      <c r="D25" s="23"/>
    </row>
    <row r="26" spans="1:4" x14ac:dyDescent="0.25">
      <c r="A26" s="23"/>
      <c r="B26" s="23"/>
      <c r="C26" s="23"/>
      <c r="D26" s="23"/>
    </row>
    <row r="27" spans="1:4" x14ac:dyDescent="0.25">
      <c r="A27" s="334" t="s">
        <v>1276</v>
      </c>
      <c r="B27" s="334" t="s">
        <v>1277</v>
      </c>
      <c r="C27" s="23"/>
      <c r="D27" s="23"/>
    </row>
    <row r="28" spans="1:4" x14ac:dyDescent="0.25">
      <c r="A28" s="345" t="s">
        <v>1226</v>
      </c>
      <c r="B28" s="339">
        <v>18379584</v>
      </c>
      <c r="C28" s="23"/>
      <c r="D28" s="23"/>
    </row>
    <row r="29" spans="1:4" x14ac:dyDescent="0.25">
      <c r="A29" s="345" t="s">
        <v>1227</v>
      </c>
      <c r="B29" s="339">
        <v>21630960</v>
      </c>
      <c r="C29" s="23"/>
      <c r="D29" s="23"/>
    </row>
    <row r="30" spans="1:4" x14ac:dyDescent="0.25">
      <c r="A30" s="345" t="s">
        <v>1228</v>
      </c>
      <c r="B30" s="368">
        <v>23147026</v>
      </c>
      <c r="C30" s="23"/>
      <c r="D30" s="23"/>
    </row>
    <row r="31" spans="1:4" x14ac:dyDescent="0.25">
      <c r="A31" s="345" t="s">
        <v>1229</v>
      </c>
      <c r="B31" s="339">
        <v>14609080</v>
      </c>
      <c r="C31" s="23"/>
      <c r="D31" s="23"/>
    </row>
    <row r="32" spans="1:4" x14ac:dyDescent="0.25">
      <c r="A32" s="345" t="s">
        <v>1230</v>
      </c>
      <c r="B32" s="339">
        <v>22497709</v>
      </c>
      <c r="C32" s="23"/>
      <c r="D32" s="23"/>
    </row>
    <row r="33" spans="1:4" x14ac:dyDescent="0.25">
      <c r="A33" s="345" t="s">
        <v>1231</v>
      </c>
      <c r="B33" s="339">
        <v>37152539.359999999</v>
      </c>
      <c r="C33" s="23"/>
      <c r="D33" s="23"/>
    </row>
    <row r="34" spans="1:4" x14ac:dyDescent="0.25">
      <c r="A34" s="345" t="s">
        <v>1232</v>
      </c>
      <c r="B34" s="368"/>
      <c r="C34" s="23"/>
      <c r="D34" s="23"/>
    </row>
    <row r="35" spans="1:4" x14ac:dyDescent="0.25">
      <c r="A35" s="345" t="s">
        <v>1233</v>
      </c>
      <c r="B35" s="339"/>
      <c r="C35" s="23"/>
      <c r="D35" s="23"/>
    </row>
    <row r="36" spans="1:4" x14ac:dyDescent="0.25">
      <c r="A36" s="345" t="s">
        <v>1234</v>
      </c>
      <c r="B36" s="339"/>
      <c r="C36" s="23"/>
      <c r="D36" s="23"/>
    </row>
    <row r="37" spans="1:4" x14ac:dyDescent="0.25">
      <c r="A37" s="345" t="s">
        <v>1235</v>
      </c>
      <c r="B37" s="339"/>
      <c r="C37" s="23"/>
      <c r="D37" s="23"/>
    </row>
    <row r="38" spans="1:4" x14ac:dyDescent="0.25">
      <c r="A38" s="345" t="s">
        <v>1236</v>
      </c>
      <c r="B38" s="339"/>
      <c r="C38" s="23"/>
      <c r="D38" s="23"/>
    </row>
    <row r="39" spans="1:4" x14ac:dyDescent="0.25">
      <c r="A39" s="345" t="s">
        <v>1237</v>
      </c>
      <c r="B39" s="339"/>
      <c r="C39" s="23"/>
      <c r="D39" s="23"/>
    </row>
    <row r="40" spans="1:4" ht="19.5" thickBot="1" x14ac:dyDescent="0.35">
      <c r="A40" s="426" t="s">
        <v>1278</v>
      </c>
      <c r="B40" s="426"/>
      <c r="C40" s="427">
        <f>SUM(B28:B39)</f>
        <v>137416898.36000001</v>
      </c>
      <c r="D40" s="23"/>
    </row>
    <row r="41" spans="1:4" ht="15.75" thickTop="1" x14ac:dyDescent="0.25">
      <c r="A41" s="23"/>
      <c r="B41" s="23"/>
      <c r="C41" s="23"/>
      <c r="D41" s="23"/>
    </row>
    <row r="42" spans="1:4" ht="15.75" x14ac:dyDescent="0.25">
      <c r="A42" s="332" t="s">
        <v>1279</v>
      </c>
      <c r="B42" s="23"/>
      <c r="C42" s="23"/>
      <c r="D42" s="23"/>
    </row>
    <row r="43" spans="1:4" x14ac:dyDescent="0.25">
      <c r="A43" s="23"/>
      <c r="B43" s="23"/>
      <c r="C43" s="23"/>
      <c r="D43" s="23"/>
    </row>
    <row r="44" spans="1:4" x14ac:dyDescent="0.25">
      <c r="A44" s="13" t="s">
        <v>1280</v>
      </c>
      <c r="B44" s="13"/>
      <c r="C44" s="13"/>
      <c r="D44" s="23"/>
    </row>
    <row r="45" spans="1:4" x14ac:dyDescent="0.25">
      <c r="A45" s="13" t="s">
        <v>1283</v>
      </c>
      <c r="B45" s="13"/>
      <c r="C45" s="13"/>
      <c r="D45" s="23"/>
    </row>
    <row r="46" spans="1:4" x14ac:dyDescent="0.25">
      <c r="A46" s="13" t="s">
        <v>1281</v>
      </c>
      <c r="B46" s="13"/>
      <c r="C46" s="13"/>
      <c r="D46" s="23"/>
    </row>
    <row r="47" spans="1:4" x14ac:dyDescent="0.25">
      <c r="A47" s="23"/>
      <c r="B47" s="23"/>
      <c r="C47" s="23"/>
      <c r="D47" s="23"/>
    </row>
  </sheetData>
  <mergeCells count="1">
    <mergeCell ref="A8:F8"/>
  </mergeCells>
  <pageMargins left="0.70866141732283505" right="0.70866141732283505" top="0.74803149606299202" bottom="0.74803149606299202" header="0.31496062992126" footer="0.31496062992126"/>
  <pageSetup paperSize="9" scale="89" orientation="portrait"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60" zoomScaleNormal="90" workbookViewId="0">
      <selection activeCell="D17" sqref="D17"/>
    </sheetView>
  </sheetViews>
  <sheetFormatPr defaultRowHeight="15" x14ac:dyDescent="0.25"/>
  <cols>
    <col min="1" max="1" width="17.7109375" customWidth="1"/>
    <col min="2" max="2" width="12.42578125" customWidth="1"/>
    <col min="3" max="3" width="10.7109375" customWidth="1"/>
    <col min="4" max="4" width="12" customWidth="1"/>
    <col min="5" max="5" width="19.85546875" customWidth="1"/>
    <col min="6" max="6" width="16.28515625" customWidth="1"/>
    <col min="7" max="7" width="17.85546875" customWidth="1"/>
  </cols>
  <sheetData>
    <row r="1" spans="1:8" ht="15.75" x14ac:dyDescent="0.25">
      <c r="A1" s="332" t="s">
        <v>1284</v>
      </c>
      <c r="B1" s="332"/>
      <c r="C1" s="23"/>
      <c r="D1" s="23"/>
      <c r="E1" s="23"/>
      <c r="F1" s="23"/>
      <c r="G1" s="23"/>
      <c r="H1" s="23"/>
    </row>
    <row r="2" spans="1:8" x14ac:dyDescent="0.25">
      <c r="A2" s="23"/>
      <c r="B2" s="23"/>
      <c r="C2" s="23"/>
      <c r="D2" s="23"/>
      <c r="E2" s="23"/>
      <c r="F2" s="23"/>
      <c r="G2" s="23"/>
      <c r="H2" s="23"/>
    </row>
    <row r="3" spans="1:8" x14ac:dyDescent="0.25">
      <c r="A3" s="428" t="s">
        <v>1285</v>
      </c>
      <c r="B3" s="429"/>
      <c r="C3" s="429"/>
      <c r="D3" s="429"/>
      <c r="E3" s="346">
        <f>[6]Income!C21</f>
        <v>12719576</v>
      </c>
      <c r="F3" s="23"/>
      <c r="G3" s="23"/>
      <c r="H3" s="23"/>
    </row>
    <row r="4" spans="1:8" x14ac:dyDescent="0.25">
      <c r="A4" s="428" t="s">
        <v>1286</v>
      </c>
      <c r="B4" s="429"/>
      <c r="C4" s="429"/>
      <c r="D4" s="429"/>
      <c r="E4" s="346">
        <f>+[6]Income!D7+[6]Income!D9+[6]Income!D10</f>
        <v>8166139</v>
      </c>
      <c r="F4" s="23"/>
      <c r="G4" s="23"/>
      <c r="H4" s="23"/>
    </row>
    <row r="5" spans="1:8" x14ac:dyDescent="0.25">
      <c r="A5" s="428" t="s">
        <v>1287</v>
      </c>
      <c r="B5" s="429"/>
      <c r="C5" s="430"/>
      <c r="D5" s="429"/>
      <c r="E5" s="346">
        <f>E3-E4</f>
        <v>4553437</v>
      </c>
      <c r="F5" s="23"/>
      <c r="G5" s="23"/>
      <c r="H5" s="23"/>
    </row>
    <row r="6" spans="1:8" x14ac:dyDescent="0.25">
      <c r="A6" s="431"/>
      <c r="B6" s="29"/>
      <c r="C6" s="29"/>
      <c r="D6" s="29"/>
      <c r="E6" s="432"/>
      <c r="F6" s="23"/>
      <c r="G6" s="23"/>
      <c r="H6" s="23"/>
    </row>
    <row r="7" spans="1:8" x14ac:dyDescent="0.25">
      <c r="A7" s="433" t="s">
        <v>1288</v>
      </c>
      <c r="B7" s="434"/>
      <c r="C7" s="434"/>
      <c r="D7" s="434"/>
      <c r="E7" s="368">
        <f>G34</f>
        <v>2059979</v>
      </c>
      <c r="F7" s="23"/>
      <c r="G7" s="23"/>
      <c r="H7" s="23"/>
    </row>
    <row r="8" spans="1:8" x14ac:dyDescent="0.25">
      <c r="A8" s="384"/>
      <c r="B8" s="384"/>
      <c r="C8" s="384"/>
      <c r="D8" s="384"/>
      <c r="E8" s="350"/>
      <c r="F8" s="23"/>
      <c r="G8" s="23"/>
      <c r="H8" s="23"/>
    </row>
    <row r="9" spans="1:8" x14ac:dyDescent="0.25">
      <c r="A9" s="23"/>
      <c r="B9" s="23"/>
      <c r="C9" s="23"/>
      <c r="D9" s="23"/>
      <c r="E9" s="23"/>
      <c r="F9" s="23"/>
      <c r="G9" s="23"/>
      <c r="H9" s="23"/>
    </row>
    <row r="10" spans="1:8" x14ac:dyDescent="0.25">
      <c r="A10" s="435" t="s">
        <v>1289</v>
      </c>
      <c r="B10" s="436" t="s">
        <v>1290</v>
      </c>
      <c r="C10" s="436" t="s">
        <v>1291</v>
      </c>
      <c r="D10" s="436" t="s">
        <v>1292</v>
      </c>
      <c r="E10" s="436" t="s">
        <v>1293</v>
      </c>
      <c r="F10" s="436" t="s">
        <v>1294</v>
      </c>
      <c r="G10" s="435" t="s">
        <v>1164</v>
      </c>
      <c r="H10" s="23"/>
    </row>
    <row r="11" spans="1:8" x14ac:dyDescent="0.25">
      <c r="A11" s="437"/>
      <c r="B11" s="438" t="s">
        <v>1295</v>
      </c>
      <c r="C11" s="438" t="s">
        <v>1295</v>
      </c>
      <c r="D11" s="438" t="s">
        <v>1295</v>
      </c>
      <c r="E11" s="438" t="s">
        <v>1295</v>
      </c>
      <c r="F11" s="438" t="s">
        <v>1295</v>
      </c>
      <c r="G11" s="437"/>
      <c r="H11" s="23"/>
    </row>
    <row r="12" spans="1:8" x14ac:dyDescent="0.25">
      <c r="A12" s="338" t="s">
        <v>1296</v>
      </c>
      <c r="B12" s="439"/>
      <c r="C12" s="439"/>
      <c r="D12" s="439"/>
      <c r="E12" s="439"/>
      <c r="F12" s="439"/>
      <c r="G12" s="440"/>
      <c r="H12" s="23"/>
    </row>
    <row r="13" spans="1:8" x14ac:dyDescent="0.25">
      <c r="A13" s="441" t="s">
        <v>1297</v>
      </c>
      <c r="B13" s="442"/>
      <c r="C13" s="442"/>
      <c r="D13" s="442"/>
      <c r="E13" s="442"/>
      <c r="F13" s="442"/>
      <c r="G13" s="443"/>
      <c r="H13" s="23"/>
    </row>
    <row r="14" spans="1:8" x14ac:dyDescent="0.25">
      <c r="A14" s="444" t="s">
        <v>1298</v>
      </c>
      <c r="B14" s="445"/>
      <c r="C14" s="445"/>
      <c r="D14" s="445"/>
      <c r="E14" s="445"/>
      <c r="F14" s="445"/>
      <c r="G14" s="446"/>
      <c r="H14" s="23"/>
    </row>
    <row r="15" spans="1:8" x14ac:dyDescent="0.25">
      <c r="A15" s="447" t="s">
        <v>1299</v>
      </c>
      <c r="B15" s="440"/>
      <c r="C15" s="440"/>
      <c r="D15" s="440"/>
      <c r="E15" s="440"/>
      <c r="F15" s="440"/>
      <c r="G15" s="448"/>
      <c r="H15" s="23"/>
    </row>
    <row r="16" spans="1:8" x14ac:dyDescent="0.25">
      <c r="A16" s="444" t="s">
        <v>1300</v>
      </c>
      <c r="B16" s="446">
        <v>0</v>
      </c>
      <c r="C16" s="446">
        <v>0</v>
      </c>
      <c r="D16" s="446">
        <v>0</v>
      </c>
      <c r="E16" s="446">
        <v>0</v>
      </c>
      <c r="F16" s="446">
        <v>0</v>
      </c>
      <c r="G16" s="449">
        <f>SUM(B16:F16)</f>
        <v>0</v>
      </c>
      <c r="H16" s="23"/>
    </row>
    <row r="17" spans="1:8" x14ac:dyDescent="0.25">
      <c r="A17" s="447" t="s">
        <v>1301</v>
      </c>
      <c r="B17" s="440"/>
      <c r="C17" s="440"/>
      <c r="D17" s="440"/>
      <c r="E17" s="440"/>
      <c r="F17" s="440"/>
      <c r="G17" s="448">
        <v>0</v>
      </c>
      <c r="H17" s="23"/>
    </row>
    <row r="18" spans="1:8" x14ac:dyDescent="0.25">
      <c r="A18" s="444" t="s">
        <v>1300</v>
      </c>
      <c r="B18" s="450">
        <v>960671</v>
      </c>
      <c r="C18" s="450">
        <v>870489</v>
      </c>
      <c r="D18" s="450">
        <v>933826</v>
      </c>
      <c r="E18" s="450">
        <v>912354</v>
      </c>
      <c r="F18" s="450">
        <v>14148539</v>
      </c>
      <c r="G18" s="449">
        <f>SUM(B18:F18)</f>
        <v>17825879</v>
      </c>
      <c r="H18" s="23"/>
    </row>
    <row r="19" spans="1:8" x14ac:dyDescent="0.25">
      <c r="A19" s="447" t="s">
        <v>1302</v>
      </c>
      <c r="B19" s="440"/>
      <c r="C19" s="440"/>
      <c r="D19" s="440"/>
      <c r="E19" s="440"/>
      <c r="F19" s="440"/>
      <c r="G19" s="448"/>
      <c r="H19" s="23"/>
    </row>
    <row r="20" spans="1:8" x14ac:dyDescent="0.25">
      <c r="A20" s="444" t="s">
        <v>1303</v>
      </c>
      <c r="B20" s="450">
        <v>894096</v>
      </c>
      <c r="C20" s="450">
        <v>734280</v>
      </c>
      <c r="D20" s="450">
        <v>688036</v>
      </c>
      <c r="E20" s="450">
        <v>658193</v>
      </c>
      <c r="F20" s="450">
        <v>22715345</v>
      </c>
      <c r="G20" s="449">
        <f>SUM(B20:F20)</f>
        <v>25689950</v>
      </c>
      <c r="H20" s="451"/>
    </row>
    <row r="21" spans="1:8" x14ac:dyDescent="0.25">
      <c r="A21" s="447" t="s">
        <v>1304</v>
      </c>
      <c r="B21" s="450"/>
      <c r="C21" s="450"/>
      <c r="D21" s="450"/>
      <c r="E21" s="450"/>
      <c r="F21" s="450"/>
      <c r="G21" s="448"/>
      <c r="H21" s="23"/>
    </row>
    <row r="22" spans="1:8" x14ac:dyDescent="0.25">
      <c r="A22" s="444" t="s">
        <v>1305</v>
      </c>
      <c r="B22" s="450"/>
      <c r="C22" s="450"/>
      <c r="D22" s="450"/>
      <c r="E22" s="450"/>
      <c r="F22" s="450"/>
      <c r="G22" s="449"/>
      <c r="H22" s="23"/>
    </row>
    <row r="23" spans="1:8" x14ac:dyDescent="0.25">
      <c r="A23" s="447" t="s">
        <v>1142</v>
      </c>
      <c r="B23" s="450"/>
      <c r="C23" s="450"/>
      <c r="D23" s="450"/>
      <c r="E23" s="450"/>
      <c r="F23" s="450"/>
      <c r="G23" s="448"/>
      <c r="H23" s="23"/>
    </row>
    <row r="24" spans="1:8" x14ac:dyDescent="0.25">
      <c r="A24" s="444" t="s">
        <v>1300</v>
      </c>
      <c r="B24" s="450">
        <v>483435</v>
      </c>
      <c r="C24" s="450">
        <v>488535</v>
      </c>
      <c r="D24" s="450">
        <v>464094</v>
      </c>
      <c r="E24" s="450">
        <v>456602</v>
      </c>
      <c r="F24" s="450">
        <v>23522215</v>
      </c>
      <c r="G24" s="449">
        <f>SUM(B24:F24)</f>
        <v>25414881</v>
      </c>
      <c r="H24" s="23"/>
    </row>
    <row r="25" spans="1:8" x14ac:dyDescent="0.25">
      <c r="A25" s="447" t="s">
        <v>1306</v>
      </c>
      <c r="B25" s="450"/>
      <c r="C25" s="450"/>
      <c r="D25" s="450"/>
      <c r="E25" s="450"/>
      <c r="F25" s="450"/>
      <c r="G25" s="448"/>
      <c r="H25" s="23"/>
    </row>
    <row r="26" spans="1:8" x14ac:dyDescent="0.25">
      <c r="A26" s="444" t="s">
        <v>1307</v>
      </c>
      <c r="B26" s="450"/>
      <c r="C26" s="450"/>
      <c r="D26" s="450"/>
      <c r="E26" s="450"/>
      <c r="F26" s="450"/>
      <c r="G26" s="449"/>
      <c r="H26" s="23"/>
    </row>
    <row r="27" spans="1:8" x14ac:dyDescent="0.25">
      <c r="A27" s="452" t="s">
        <v>1308</v>
      </c>
      <c r="B27" s="450"/>
      <c r="C27" s="450"/>
      <c r="D27" s="450"/>
      <c r="E27" s="450"/>
      <c r="F27" s="450"/>
      <c r="G27" s="450"/>
      <c r="H27" s="23"/>
    </row>
    <row r="28" spans="1:8" x14ac:dyDescent="0.25">
      <c r="A28" s="452" t="s">
        <v>1309</v>
      </c>
      <c r="B28" s="450">
        <f>17246+37853</f>
        <v>55099</v>
      </c>
      <c r="C28" s="450">
        <f>20520+47536</f>
        <v>68056</v>
      </c>
      <c r="D28" s="450">
        <f>20520+48070</f>
        <v>68590</v>
      </c>
      <c r="E28" s="450">
        <f>20730+48116</f>
        <v>68846</v>
      </c>
      <c r="F28" s="450">
        <f>3638908+11648093</f>
        <v>15287001</v>
      </c>
      <c r="G28" s="449">
        <f>SUM(B28:F28)</f>
        <v>15547592</v>
      </c>
      <c r="H28" s="23"/>
    </row>
    <row r="29" spans="1:8" x14ac:dyDescent="0.25">
      <c r="A29" s="453" t="s">
        <v>1310</v>
      </c>
      <c r="B29" s="454"/>
      <c r="C29" s="455"/>
      <c r="D29" s="455"/>
      <c r="E29" s="455"/>
      <c r="F29" s="455"/>
      <c r="G29" s="454"/>
      <c r="H29" s="23"/>
    </row>
    <row r="30" spans="1:8" x14ac:dyDescent="0.25">
      <c r="A30" s="406" t="s">
        <v>1172</v>
      </c>
      <c r="B30" s="456">
        <f>SUM(B12:B29)</f>
        <v>2393301</v>
      </c>
      <c r="C30" s="457">
        <f>SUM(C16:C29)</f>
        <v>2161360</v>
      </c>
      <c r="D30" s="457">
        <f>SUM(D16:D29)</f>
        <v>2154546</v>
      </c>
      <c r="E30" s="457">
        <f>SUM(E18:E29)</f>
        <v>2095995</v>
      </c>
      <c r="F30" s="457">
        <f>SUM(F18:F28)</f>
        <v>75673100</v>
      </c>
      <c r="G30" s="456">
        <f>SUM(B30:F30)</f>
        <v>84478302</v>
      </c>
      <c r="H30" s="23"/>
    </row>
    <row r="31" spans="1:8" x14ac:dyDescent="0.25">
      <c r="A31" s="447" t="s">
        <v>1296</v>
      </c>
      <c r="B31" s="448"/>
      <c r="C31" s="440"/>
      <c r="D31" s="440"/>
      <c r="E31" s="440"/>
      <c r="F31" s="440"/>
      <c r="G31" s="448"/>
      <c r="H31" s="23"/>
    </row>
    <row r="32" spans="1:8" x14ac:dyDescent="0.25">
      <c r="A32" s="458" t="s">
        <v>1297</v>
      </c>
      <c r="B32" s="459"/>
      <c r="C32" s="443"/>
      <c r="D32" s="443"/>
      <c r="E32" s="443"/>
      <c r="F32" s="443"/>
      <c r="G32" s="459"/>
      <c r="H32" s="23"/>
    </row>
    <row r="33" spans="1:8" x14ac:dyDescent="0.25">
      <c r="A33" s="444" t="s">
        <v>1311</v>
      </c>
      <c r="B33" s="449"/>
      <c r="C33" s="446"/>
      <c r="D33" s="446"/>
      <c r="E33" s="446"/>
      <c r="F33" s="446"/>
      <c r="G33" s="449"/>
      <c r="H33" s="23"/>
    </row>
    <row r="34" spans="1:8" x14ac:dyDescent="0.25">
      <c r="A34" s="452" t="s">
        <v>1312</v>
      </c>
      <c r="B34" s="450">
        <v>76843</v>
      </c>
      <c r="C34" s="450">
        <v>78150</v>
      </c>
      <c r="D34" s="450">
        <v>72829</v>
      </c>
      <c r="E34" s="450">
        <v>61114</v>
      </c>
      <c r="F34" s="450">
        <v>1771043</v>
      </c>
      <c r="G34" s="449">
        <f>SUM(B34:F34)</f>
        <v>2059979</v>
      </c>
      <c r="H34" s="23"/>
    </row>
    <row r="35" spans="1:8" x14ac:dyDescent="0.25">
      <c r="A35" s="452" t="s">
        <v>1313</v>
      </c>
      <c r="B35" s="450">
        <v>506943</v>
      </c>
      <c r="C35" s="450">
        <v>301817</v>
      </c>
      <c r="D35" s="450">
        <v>251423</v>
      </c>
      <c r="E35" s="450">
        <v>249583</v>
      </c>
      <c r="F35" s="450">
        <v>4706561</v>
      </c>
      <c r="G35" s="449">
        <f>SUM(B35:F35)</f>
        <v>6016327</v>
      </c>
      <c r="H35" s="23"/>
    </row>
    <row r="36" spans="1:8" x14ac:dyDescent="0.25">
      <c r="A36" s="452" t="s">
        <v>1314</v>
      </c>
      <c r="B36" s="450">
        <v>1809515</v>
      </c>
      <c r="C36" s="450">
        <v>1781393</v>
      </c>
      <c r="D36" s="450">
        <v>1830294</v>
      </c>
      <c r="E36" s="450">
        <v>1785298</v>
      </c>
      <c r="F36" s="450">
        <v>69195496</v>
      </c>
      <c r="G36" s="449">
        <f>SUM(B36:F36)</f>
        <v>76401996</v>
      </c>
      <c r="H36" s="23"/>
    </row>
    <row r="37" spans="1:8" x14ac:dyDescent="0.25">
      <c r="A37" s="452" t="s">
        <v>1309</v>
      </c>
      <c r="B37" s="450">
        <v>0</v>
      </c>
      <c r="C37" s="450">
        <f>SUM(B37)</f>
        <v>0</v>
      </c>
      <c r="D37" s="450">
        <f>SUM(C37)</f>
        <v>0</v>
      </c>
      <c r="E37" s="450">
        <f>SUM(D37)</f>
        <v>0</v>
      </c>
      <c r="F37" s="450">
        <f>SUM(E37)</f>
        <v>0</v>
      </c>
      <c r="G37" s="450">
        <f>SUM(F37)</f>
        <v>0</v>
      </c>
      <c r="H37" s="23"/>
    </row>
    <row r="38" spans="1:8" x14ac:dyDescent="0.25">
      <c r="A38" s="453" t="s">
        <v>1315</v>
      </c>
      <c r="B38" s="455"/>
      <c r="C38" s="455"/>
      <c r="D38" s="455"/>
      <c r="E38" s="455"/>
      <c r="F38" s="455"/>
      <c r="G38" s="454"/>
      <c r="H38" s="23"/>
    </row>
    <row r="39" spans="1:8" ht="15.75" thickBot="1" x14ac:dyDescent="0.3">
      <c r="A39" s="406" t="s">
        <v>1311</v>
      </c>
      <c r="B39" s="460">
        <f>SUM(B34:B38)</f>
        <v>2393301</v>
      </c>
      <c r="C39" s="460">
        <f>SUM(C34:C38)</f>
        <v>2161360</v>
      </c>
      <c r="D39" s="460">
        <f>SUM(D34:D38)</f>
        <v>2154546</v>
      </c>
      <c r="E39" s="460">
        <f>SUM(E34:E38)</f>
        <v>2095995</v>
      </c>
      <c r="F39" s="460">
        <f>SUM(F34:F38)</f>
        <v>75673100</v>
      </c>
      <c r="G39" s="461">
        <f>SUM(B39:F39)</f>
        <v>84478302</v>
      </c>
      <c r="H39" s="23"/>
    </row>
    <row r="40" spans="1:8" ht="15.75" thickTop="1" x14ac:dyDescent="0.25">
      <c r="A40" s="23"/>
      <c r="B40" s="23"/>
      <c r="C40" s="451"/>
      <c r="D40" s="23"/>
      <c r="E40" s="23"/>
      <c r="F40" s="23"/>
      <c r="G40" s="23"/>
      <c r="H40" s="23"/>
    </row>
    <row r="41" spans="1:8" x14ac:dyDescent="0.25">
      <c r="A41" s="23"/>
      <c r="B41" s="23"/>
      <c r="C41" s="23"/>
      <c r="D41" s="23"/>
      <c r="E41" s="23"/>
      <c r="F41" s="23"/>
      <c r="G41" s="23"/>
      <c r="H41" s="23"/>
    </row>
  </sheetData>
  <dataValidations count="1">
    <dataValidation type="whole" allowBlank="1" showInputMessage="1" showErrorMessage="1" error="Enter a whole number" sqref="B18:F18 B20:F20 B24:F24 B28:F28">
      <formula1>-999999999999</formula1>
      <formula2>999999999999</formula2>
    </dataValidation>
  </dataValidations>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topLeftCell="A17" zoomScale="60" zoomScaleNormal="90" workbookViewId="0">
      <selection activeCell="K52" sqref="K52"/>
    </sheetView>
  </sheetViews>
  <sheetFormatPr defaultRowHeight="15" x14ac:dyDescent="0.25"/>
  <cols>
    <col min="2" max="2" width="12.5703125" customWidth="1"/>
    <col min="3" max="3" width="21.85546875" customWidth="1"/>
  </cols>
  <sheetData>
    <row r="1" spans="1:8" ht="15.75" x14ac:dyDescent="0.25">
      <c r="A1" s="462" t="s">
        <v>1316</v>
      </c>
      <c r="B1" s="462"/>
      <c r="C1" s="13"/>
      <c r="D1" s="23"/>
      <c r="E1" s="23"/>
      <c r="F1" s="23"/>
      <c r="G1" s="23"/>
      <c r="H1" s="23"/>
    </row>
    <row r="2" spans="1:8" x14ac:dyDescent="0.25">
      <c r="A2" s="13"/>
      <c r="B2" s="13"/>
      <c r="C2" s="13"/>
      <c r="D2" s="23"/>
      <c r="E2" s="23"/>
      <c r="F2" s="23"/>
      <c r="G2" s="23"/>
      <c r="H2" s="23"/>
    </row>
    <row r="3" spans="1:8" x14ac:dyDescent="0.25">
      <c r="A3" s="147" t="s">
        <v>1317</v>
      </c>
      <c r="B3" s="147"/>
      <c r="C3" s="147"/>
      <c r="D3" s="23"/>
      <c r="E3" s="23"/>
      <c r="F3" s="23"/>
      <c r="G3" s="23"/>
      <c r="H3" s="23"/>
    </row>
    <row r="4" spans="1:8" x14ac:dyDescent="0.25">
      <c r="A4" s="147"/>
      <c r="B4" s="147"/>
      <c r="C4" s="147"/>
      <c r="D4" s="23"/>
      <c r="E4" s="23"/>
      <c r="F4" s="23"/>
      <c r="G4" s="23"/>
      <c r="H4" s="23"/>
    </row>
    <row r="5" spans="1:8" x14ac:dyDescent="0.25">
      <c r="A5" s="463" t="s">
        <v>1318</v>
      </c>
      <c r="B5" s="463" t="s">
        <v>1319</v>
      </c>
      <c r="C5" s="463" t="s">
        <v>1320</v>
      </c>
      <c r="D5" s="23"/>
      <c r="E5" s="23"/>
      <c r="F5" s="23"/>
      <c r="G5" s="23"/>
      <c r="H5" s="23"/>
    </row>
    <row r="6" spans="1:8" x14ac:dyDescent="0.25">
      <c r="A6" s="464">
        <v>1</v>
      </c>
      <c r="B6" s="464">
        <v>0</v>
      </c>
      <c r="C6" s="464">
        <v>0</v>
      </c>
      <c r="D6" s="309"/>
      <c r="E6" s="465"/>
      <c r="F6" s="23"/>
      <c r="G6" s="23"/>
      <c r="H6" s="23"/>
    </row>
    <row r="7" spans="1:8" x14ac:dyDescent="0.25">
      <c r="A7" s="464">
        <v>2</v>
      </c>
      <c r="B7" s="464">
        <v>0</v>
      </c>
      <c r="C7" s="464">
        <v>0</v>
      </c>
      <c r="D7" s="147"/>
      <c r="E7" s="465"/>
      <c r="F7" s="465"/>
      <c r="G7" s="23"/>
      <c r="H7" s="23"/>
    </row>
    <row r="8" spans="1:8" x14ac:dyDescent="0.25">
      <c r="A8" s="464">
        <v>3</v>
      </c>
      <c r="B8" s="464">
        <v>6</v>
      </c>
      <c r="C8" s="464">
        <v>10</v>
      </c>
      <c r="D8" s="147"/>
      <c r="E8" s="23"/>
      <c r="F8" s="23"/>
      <c r="G8" s="23"/>
      <c r="H8" s="23"/>
    </row>
    <row r="9" spans="1:8" x14ac:dyDescent="0.25">
      <c r="A9" s="464">
        <v>4</v>
      </c>
      <c r="B9" s="464">
        <v>9</v>
      </c>
      <c r="C9" s="464">
        <v>15</v>
      </c>
      <c r="D9" s="147"/>
      <c r="E9" s="23"/>
      <c r="F9" s="23"/>
      <c r="G9" s="23"/>
      <c r="H9" s="23"/>
    </row>
    <row r="10" spans="1:8" x14ac:dyDescent="0.25">
      <c r="A10" s="464">
        <v>5</v>
      </c>
      <c r="B10" s="464">
        <v>19</v>
      </c>
      <c r="C10" s="464">
        <v>38</v>
      </c>
      <c r="D10" s="147"/>
      <c r="E10" s="23"/>
      <c r="F10" s="23"/>
      <c r="G10" s="23"/>
      <c r="H10" s="23"/>
    </row>
    <row r="11" spans="1:8" x14ac:dyDescent="0.25">
      <c r="A11" s="464">
        <v>6</v>
      </c>
      <c r="B11" s="464">
        <v>11</v>
      </c>
      <c r="C11" s="464">
        <v>11</v>
      </c>
      <c r="D11" s="147"/>
      <c r="E11" s="23"/>
      <c r="F11" s="23"/>
      <c r="G11" s="23"/>
      <c r="H11" s="23"/>
    </row>
    <row r="12" spans="1:8" x14ac:dyDescent="0.25">
      <c r="A12" s="464">
        <v>7</v>
      </c>
      <c r="B12" s="464">
        <v>0</v>
      </c>
      <c r="C12" s="464">
        <v>0</v>
      </c>
      <c r="D12" s="147"/>
      <c r="E12" s="23"/>
      <c r="F12" s="23"/>
      <c r="G12" s="23"/>
      <c r="H12" s="23"/>
    </row>
    <row r="13" spans="1:8" x14ac:dyDescent="0.25">
      <c r="A13" s="464">
        <v>8</v>
      </c>
      <c r="B13" s="464">
        <v>0</v>
      </c>
      <c r="C13" s="464">
        <v>0</v>
      </c>
      <c r="D13" s="147"/>
      <c r="E13" s="23"/>
      <c r="F13" s="23"/>
      <c r="G13" s="23"/>
      <c r="H13" s="23"/>
    </row>
    <row r="14" spans="1:8" x14ac:dyDescent="0.25">
      <c r="A14" s="464">
        <v>9</v>
      </c>
      <c r="B14" s="464">
        <v>3</v>
      </c>
      <c r="C14" s="464">
        <v>6</v>
      </c>
      <c r="D14" s="147"/>
      <c r="E14" s="23"/>
      <c r="F14" s="23"/>
      <c r="G14" s="23"/>
      <c r="H14" s="23"/>
    </row>
    <row r="15" spans="1:8" x14ac:dyDescent="0.25">
      <c r="A15" s="464">
        <v>10</v>
      </c>
      <c r="B15" s="464">
        <v>9</v>
      </c>
      <c r="C15" s="464">
        <v>14</v>
      </c>
      <c r="D15" s="147"/>
      <c r="E15" s="23"/>
      <c r="F15" s="23"/>
      <c r="G15" s="23"/>
      <c r="H15" s="23"/>
    </row>
    <row r="16" spans="1:8" x14ac:dyDescent="0.25">
      <c r="A16" s="464">
        <v>11</v>
      </c>
      <c r="B16" s="464">
        <v>18</v>
      </c>
      <c r="C16" s="464">
        <v>69</v>
      </c>
      <c r="D16" s="147"/>
      <c r="E16" s="23"/>
      <c r="F16" s="23"/>
      <c r="G16" s="23"/>
      <c r="H16" s="23"/>
    </row>
    <row r="17" spans="1:8" x14ac:dyDescent="0.25">
      <c r="A17" s="464">
        <v>12</v>
      </c>
      <c r="B17" s="464">
        <v>0</v>
      </c>
      <c r="C17" s="464">
        <v>1</v>
      </c>
      <c r="D17" s="147"/>
      <c r="E17" s="23"/>
      <c r="F17" s="23"/>
      <c r="G17" s="23"/>
      <c r="H17" s="23"/>
    </row>
    <row r="18" spans="1:8" x14ac:dyDescent="0.25">
      <c r="A18" s="464">
        <v>13</v>
      </c>
      <c r="B18" s="464">
        <v>10</v>
      </c>
      <c r="C18" s="464">
        <v>25</v>
      </c>
      <c r="D18" s="147"/>
      <c r="E18" s="23"/>
      <c r="F18" s="23"/>
      <c r="G18" s="23"/>
      <c r="H18" s="23"/>
    </row>
    <row r="19" spans="1:8" x14ac:dyDescent="0.25">
      <c r="A19" s="464">
        <v>14</v>
      </c>
      <c r="B19" s="464">
        <v>0</v>
      </c>
      <c r="C19" s="464">
        <v>0</v>
      </c>
      <c r="D19" s="147"/>
      <c r="E19" s="23"/>
      <c r="F19" s="23"/>
      <c r="G19" s="23"/>
      <c r="H19" s="23"/>
    </row>
    <row r="20" spans="1:8" x14ac:dyDescent="0.25">
      <c r="A20" s="464">
        <v>15</v>
      </c>
      <c r="B20" s="464">
        <v>0</v>
      </c>
      <c r="C20" s="464">
        <v>284</v>
      </c>
      <c r="D20" s="147"/>
      <c r="E20" s="23"/>
      <c r="F20" s="23"/>
      <c r="G20" s="23"/>
      <c r="H20" s="23"/>
    </row>
    <row r="21" spans="1:8" x14ac:dyDescent="0.25">
      <c r="A21" s="464">
        <v>16</v>
      </c>
      <c r="B21" s="464"/>
      <c r="C21" s="464">
        <v>0</v>
      </c>
      <c r="D21" s="147"/>
      <c r="E21" s="23"/>
      <c r="F21" s="23"/>
      <c r="G21" s="23"/>
      <c r="H21" s="23"/>
    </row>
    <row r="22" spans="1:8" x14ac:dyDescent="0.25">
      <c r="A22" s="464">
        <v>17</v>
      </c>
      <c r="B22" s="464">
        <v>0</v>
      </c>
      <c r="C22" s="464">
        <v>0</v>
      </c>
      <c r="D22" s="147"/>
      <c r="E22" s="23"/>
      <c r="F22" s="23"/>
      <c r="G22" s="23"/>
      <c r="H22" s="23"/>
    </row>
    <row r="23" spans="1:8" x14ac:dyDescent="0.25">
      <c r="A23" s="464">
        <v>18</v>
      </c>
      <c r="B23" s="464">
        <v>0</v>
      </c>
      <c r="C23" s="464">
        <v>0</v>
      </c>
      <c r="D23" s="147"/>
      <c r="E23" s="23"/>
      <c r="F23" s="23"/>
      <c r="G23" s="23"/>
      <c r="H23" s="23"/>
    </row>
    <row r="24" spans="1:8" x14ac:dyDescent="0.25">
      <c r="A24" s="464">
        <v>19</v>
      </c>
      <c r="B24" s="464">
        <v>0</v>
      </c>
      <c r="C24" s="464">
        <v>4</v>
      </c>
      <c r="D24" s="147"/>
      <c r="E24" s="23"/>
      <c r="F24" s="23"/>
      <c r="G24" s="23"/>
      <c r="H24" s="23"/>
    </row>
    <row r="25" spans="1:8" x14ac:dyDescent="0.25">
      <c r="A25" s="464">
        <v>20</v>
      </c>
      <c r="B25" s="464">
        <v>0</v>
      </c>
      <c r="C25" s="464">
        <v>0</v>
      </c>
      <c r="D25" s="147"/>
      <c r="E25" s="23"/>
      <c r="F25" s="23"/>
      <c r="G25" s="23"/>
      <c r="H25" s="23"/>
    </row>
    <row r="26" spans="1:8" x14ac:dyDescent="0.25">
      <c r="A26" s="464">
        <v>21</v>
      </c>
      <c r="B26" s="464">
        <v>30</v>
      </c>
      <c r="C26" s="464">
        <v>79</v>
      </c>
      <c r="D26" s="147"/>
      <c r="E26" s="23"/>
      <c r="F26" s="23"/>
      <c r="G26" s="23"/>
      <c r="H26" s="23"/>
    </row>
    <row r="27" spans="1:8" x14ac:dyDescent="0.25">
      <c r="A27" s="464">
        <v>22</v>
      </c>
      <c r="B27" s="464">
        <v>45</v>
      </c>
      <c r="C27" s="464">
        <v>67</v>
      </c>
      <c r="D27" s="147"/>
      <c r="E27" s="23"/>
      <c r="F27" s="23"/>
      <c r="G27" s="23"/>
      <c r="H27" s="23"/>
    </row>
    <row r="28" spans="1:8" x14ac:dyDescent="0.25">
      <c r="A28" s="464">
        <v>23</v>
      </c>
      <c r="B28" s="464">
        <v>0</v>
      </c>
      <c r="C28" s="464">
        <v>0</v>
      </c>
      <c r="D28" s="147"/>
      <c r="E28" s="23"/>
      <c r="F28" s="23"/>
      <c r="G28" s="23"/>
      <c r="H28" s="23"/>
    </row>
    <row r="29" spans="1:8" x14ac:dyDescent="0.25">
      <c r="A29" s="464">
        <v>24</v>
      </c>
      <c r="B29" s="464">
        <v>0</v>
      </c>
      <c r="C29" s="464">
        <v>0</v>
      </c>
      <c r="D29" s="147"/>
      <c r="E29" s="23"/>
      <c r="F29" s="23"/>
      <c r="G29" s="23"/>
      <c r="H29" s="23"/>
    </row>
    <row r="30" spans="1:8" x14ac:dyDescent="0.25">
      <c r="A30" s="464">
        <v>25</v>
      </c>
      <c r="B30" s="464">
        <v>0</v>
      </c>
      <c r="C30" s="464">
        <v>0</v>
      </c>
      <c r="D30" s="147"/>
      <c r="E30" s="23"/>
      <c r="F30" s="23"/>
      <c r="G30" s="23"/>
      <c r="H30" s="23"/>
    </row>
    <row r="31" spans="1:8" x14ac:dyDescent="0.25">
      <c r="A31" s="464">
        <v>26</v>
      </c>
      <c r="B31" s="464">
        <v>91</v>
      </c>
      <c r="C31" s="464">
        <v>135</v>
      </c>
      <c r="D31" s="147"/>
      <c r="E31" s="23"/>
      <c r="F31" s="23"/>
      <c r="G31" s="23"/>
      <c r="H31" s="23"/>
    </row>
    <row r="32" spans="1:8" x14ac:dyDescent="0.25">
      <c r="A32" s="464">
        <v>27</v>
      </c>
      <c r="B32" s="464">
        <v>15</v>
      </c>
      <c r="C32" s="464">
        <v>27</v>
      </c>
      <c r="D32" s="147"/>
      <c r="E32" s="23"/>
      <c r="F32" s="23"/>
      <c r="G32" s="23"/>
      <c r="H32" s="23"/>
    </row>
    <row r="33" spans="1:8" x14ac:dyDescent="0.25">
      <c r="A33" s="464">
        <v>28</v>
      </c>
      <c r="B33" s="464">
        <v>0</v>
      </c>
      <c r="C33" s="464">
        <v>0</v>
      </c>
      <c r="D33" s="147"/>
      <c r="E33" s="23"/>
      <c r="F33" s="23"/>
      <c r="G33" s="23"/>
      <c r="H33" s="23"/>
    </row>
    <row r="34" spans="1:8" x14ac:dyDescent="0.25">
      <c r="A34" s="464">
        <v>29</v>
      </c>
      <c r="B34" s="413" t="s">
        <v>1321</v>
      </c>
      <c r="C34" s="452" t="s">
        <v>1322</v>
      </c>
      <c r="D34" s="147"/>
      <c r="E34" s="23"/>
      <c r="F34" s="23"/>
      <c r="G34" s="23"/>
      <c r="H34" s="23"/>
    </row>
    <row r="35" spans="1:8" x14ac:dyDescent="0.25">
      <c r="A35" s="466"/>
      <c r="B35" s="452" t="s">
        <v>1107</v>
      </c>
      <c r="C35" s="452" t="s">
        <v>1166</v>
      </c>
      <c r="D35" s="467" t="s">
        <v>1109</v>
      </c>
      <c r="E35" s="23"/>
      <c r="F35" s="23"/>
      <c r="G35" s="23"/>
      <c r="H35" s="23"/>
    </row>
    <row r="36" spans="1:8" x14ac:dyDescent="0.25">
      <c r="A36" s="452" t="s">
        <v>1323</v>
      </c>
      <c r="B36" s="468">
        <v>796500</v>
      </c>
      <c r="C36" s="468">
        <v>154257</v>
      </c>
      <c r="D36" s="411">
        <f>C36/B36*100</f>
        <v>19.366854990583803</v>
      </c>
      <c r="E36" s="23"/>
      <c r="F36" s="23"/>
      <c r="G36" s="23"/>
      <c r="H36" s="23"/>
    </row>
    <row r="37" spans="1:8" x14ac:dyDescent="0.25">
      <c r="A37" s="23"/>
      <c r="B37" s="23"/>
      <c r="C37" s="23"/>
      <c r="D37" s="23"/>
      <c r="E37" s="23"/>
      <c r="F37" s="23"/>
      <c r="G37" s="23"/>
      <c r="H37" s="23"/>
    </row>
    <row r="38" spans="1:8" x14ac:dyDescent="0.25">
      <c r="A38" s="147" t="s">
        <v>1324</v>
      </c>
      <c r="B38" s="13"/>
      <c r="C38" s="13"/>
      <c r="D38" s="13"/>
      <c r="E38" s="13"/>
      <c r="F38" s="23"/>
      <c r="G38" s="23"/>
      <c r="H38" s="23"/>
    </row>
    <row r="39" spans="1:8" x14ac:dyDescent="0.25">
      <c r="A39" s="23"/>
      <c r="B39" s="23"/>
      <c r="C39" s="23"/>
      <c r="D39" s="23"/>
      <c r="E39" s="23"/>
      <c r="F39" s="23"/>
      <c r="G39" s="23"/>
      <c r="H39" s="23"/>
    </row>
    <row r="40" spans="1:8" x14ac:dyDescent="0.25">
      <c r="A40" s="469" t="s">
        <v>1325</v>
      </c>
      <c r="B40" s="13"/>
      <c r="C40" s="13"/>
      <c r="D40" s="13"/>
      <c r="E40" s="13"/>
      <c r="F40" s="13"/>
      <c r="G40" s="23"/>
      <c r="H40" s="23"/>
    </row>
    <row r="41" spans="1:8" x14ac:dyDescent="0.25">
      <c r="A41" s="23"/>
      <c r="B41" s="23"/>
      <c r="C41" s="23"/>
      <c r="D41" s="23"/>
      <c r="E41" s="23"/>
      <c r="F41" s="23"/>
      <c r="G41" s="23"/>
      <c r="H41" s="23"/>
    </row>
    <row r="42" spans="1:8" x14ac:dyDescent="0.25">
      <c r="A42" s="23" t="s">
        <v>1326</v>
      </c>
      <c r="B42" s="23"/>
      <c r="C42" s="23"/>
      <c r="D42" s="23"/>
      <c r="E42" s="23"/>
      <c r="F42" s="23"/>
      <c r="G42" s="23"/>
      <c r="H42" s="23"/>
    </row>
    <row r="43" spans="1:8" x14ac:dyDescent="0.25">
      <c r="A43" s="13" t="s">
        <v>1327</v>
      </c>
      <c r="B43" s="13"/>
      <c r="C43" s="13"/>
      <c r="D43" s="13"/>
      <c r="E43" s="13"/>
      <c r="F43" s="13"/>
      <c r="G43" s="23"/>
      <c r="H43" s="23"/>
    </row>
    <row r="44" spans="1:8" x14ac:dyDescent="0.25">
      <c r="A44" s="23"/>
      <c r="B44" s="23"/>
      <c r="C44" s="23"/>
      <c r="D44" s="23"/>
      <c r="E44" s="23"/>
      <c r="F44" s="23"/>
      <c r="G44" s="23"/>
      <c r="H44" s="23"/>
    </row>
    <row r="45" spans="1:8" x14ac:dyDescent="0.25">
      <c r="A45" s="13" t="s">
        <v>1328</v>
      </c>
      <c r="B45" s="13"/>
      <c r="C45" s="13"/>
      <c r="D45" s="13"/>
      <c r="E45" s="13"/>
      <c r="F45" s="13"/>
      <c r="G45" s="23"/>
      <c r="H45" s="23"/>
    </row>
    <row r="46" spans="1:8" x14ac:dyDescent="0.25">
      <c r="A46" s="13" t="s">
        <v>1329</v>
      </c>
      <c r="B46" s="13"/>
      <c r="C46" s="13"/>
      <c r="D46" s="13"/>
      <c r="E46" s="13"/>
      <c r="F46" s="13"/>
      <c r="G46" s="23"/>
      <c r="H46" s="23"/>
    </row>
    <row r="47" spans="1:8" x14ac:dyDescent="0.25">
      <c r="A47" s="13" t="s">
        <v>1330</v>
      </c>
      <c r="B47" s="13"/>
      <c r="C47" s="13"/>
      <c r="D47" s="13"/>
      <c r="E47" s="13"/>
      <c r="F47" s="13"/>
      <c r="G47" s="23"/>
      <c r="H47" s="23"/>
    </row>
    <row r="48" spans="1:8" x14ac:dyDescent="0.25">
      <c r="A48" s="13" t="s">
        <v>1331</v>
      </c>
      <c r="B48" s="13"/>
      <c r="C48" s="13"/>
      <c r="D48" s="13"/>
      <c r="E48" s="13"/>
      <c r="F48" s="13"/>
      <c r="G48" s="23"/>
      <c r="H48" s="23"/>
    </row>
    <row r="49" spans="1:8" x14ac:dyDescent="0.25">
      <c r="A49" s="13" t="s">
        <v>1332</v>
      </c>
      <c r="B49" s="13"/>
      <c r="C49" s="13"/>
      <c r="D49" s="13"/>
      <c r="E49" s="13"/>
      <c r="F49" s="13"/>
      <c r="G49" s="23"/>
      <c r="H49" s="23"/>
    </row>
    <row r="50" spans="1:8" x14ac:dyDescent="0.25">
      <c r="A50" s="13" t="s">
        <v>1333</v>
      </c>
      <c r="B50" s="13"/>
      <c r="C50" s="13"/>
      <c r="D50" s="13"/>
      <c r="E50" s="13"/>
      <c r="F50" s="13"/>
      <c r="G50" s="23"/>
      <c r="H50" s="23"/>
    </row>
    <row r="51" spans="1:8" x14ac:dyDescent="0.25">
      <c r="A51" s="23"/>
      <c r="B51" s="23"/>
      <c r="C51" s="23"/>
      <c r="D51" s="23"/>
      <c r="E51" s="23"/>
      <c r="F51" s="23"/>
      <c r="G51" s="23"/>
      <c r="H51" s="23"/>
    </row>
    <row r="52" spans="1:8" x14ac:dyDescent="0.25">
      <c r="A52" s="13" t="s">
        <v>1334</v>
      </c>
      <c r="B52" s="23"/>
      <c r="C52" s="23"/>
      <c r="D52" s="23"/>
      <c r="E52" s="23"/>
      <c r="F52" s="23"/>
      <c r="G52" s="23"/>
      <c r="H52" s="23"/>
    </row>
    <row r="53" spans="1:8" x14ac:dyDescent="0.25">
      <c r="A53" s="23"/>
      <c r="B53" s="23"/>
      <c r="C53" s="23"/>
      <c r="D53" s="23"/>
      <c r="E53" s="23"/>
      <c r="F53" s="23"/>
      <c r="G53" s="23"/>
      <c r="H53" s="23"/>
    </row>
  </sheetData>
  <pageMargins left="0.70866141732283505" right="0.70866141732283505" top="0.74803149606299202" bottom="0.74803149606299202" header="0.31496062992126" footer="0.31496062992126"/>
  <pageSetup paperSize="9" scale="88" orientation="portrait"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topLeftCell="A6" zoomScale="60" zoomScaleNormal="90" workbookViewId="0">
      <selection activeCell="D17" sqref="D17"/>
    </sheetView>
  </sheetViews>
  <sheetFormatPr defaultRowHeight="15" x14ac:dyDescent="0.25"/>
  <cols>
    <col min="2" max="2" width="17.140625" customWidth="1"/>
    <col min="3" max="3" width="17.85546875" customWidth="1"/>
    <col min="4" max="4" width="17.7109375" customWidth="1"/>
  </cols>
  <sheetData>
    <row r="1" spans="1:7" x14ac:dyDescent="0.25">
      <c r="A1" s="23"/>
      <c r="B1" s="23"/>
      <c r="C1" s="23"/>
      <c r="D1" s="23"/>
      <c r="E1" s="23"/>
      <c r="F1" s="23"/>
      <c r="G1" s="23"/>
    </row>
    <row r="2" spans="1:7" x14ac:dyDescent="0.25">
      <c r="A2" s="386" t="s">
        <v>1187</v>
      </c>
      <c r="B2" s="386"/>
      <c r="C2" s="23"/>
      <c r="D2" s="23"/>
      <c r="E2" s="364"/>
      <c r="F2" s="23"/>
      <c r="G2" s="23"/>
    </row>
    <row r="3" spans="1:7" x14ac:dyDescent="0.25">
      <c r="A3" s="23" t="s">
        <v>1188</v>
      </c>
      <c r="B3" s="23"/>
      <c r="C3" s="23"/>
      <c r="D3" s="23"/>
      <c r="E3" s="364"/>
      <c r="F3" s="23"/>
      <c r="G3" s="23"/>
    </row>
    <row r="4" spans="1:7" x14ac:dyDescent="0.25">
      <c r="A4" s="356"/>
      <c r="B4" s="345" t="s">
        <v>1107</v>
      </c>
      <c r="C4" s="345" t="s">
        <v>1189</v>
      </c>
      <c r="D4" s="345" t="s">
        <v>1195</v>
      </c>
      <c r="E4" s="470" t="s">
        <v>1109</v>
      </c>
      <c r="F4" s="23"/>
      <c r="G4" s="23"/>
    </row>
    <row r="5" spans="1:7" x14ac:dyDescent="0.25">
      <c r="A5" s="387" t="s">
        <v>1191</v>
      </c>
      <c r="B5" s="471">
        <f>53440000</f>
        <v>53440000</v>
      </c>
      <c r="C5" s="471">
        <f>[6]Income!C30</f>
        <v>34020000</v>
      </c>
      <c r="D5" s="471">
        <f>'Capital Projects'!D211</f>
        <v>10986419</v>
      </c>
      <c r="E5" s="341">
        <f>D5/67756360*100</f>
        <v>16.214594467589464</v>
      </c>
      <c r="F5" s="23"/>
      <c r="G5" s="374"/>
    </row>
    <row r="6" spans="1:7" x14ac:dyDescent="0.25">
      <c r="A6" s="386"/>
      <c r="B6" s="386"/>
      <c r="C6" s="23"/>
      <c r="D6" s="23"/>
      <c r="E6" s="364"/>
      <c r="F6" s="23"/>
      <c r="G6" s="23"/>
    </row>
    <row r="7" spans="1:7" ht="30.75" customHeight="1" x14ac:dyDescent="0.25">
      <c r="A7" s="596" t="s">
        <v>1424</v>
      </c>
      <c r="B7" s="596"/>
      <c r="C7" s="596"/>
      <c r="D7" s="596"/>
      <c r="E7" s="596"/>
      <c r="F7" s="23"/>
      <c r="G7" s="23"/>
    </row>
    <row r="8" spans="1:7" s="23" customFormat="1" x14ac:dyDescent="0.25"/>
    <row r="9" spans="1:7" x14ac:dyDescent="0.25">
      <c r="A9" s="386" t="s">
        <v>1335</v>
      </c>
      <c r="B9" s="386"/>
      <c r="C9" s="23"/>
      <c r="D9" s="23"/>
      <c r="E9" s="23"/>
      <c r="F9" s="23"/>
      <c r="G9" s="23"/>
    </row>
    <row r="10" spans="1:7" x14ac:dyDescent="0.25">
      <c r="A10" s="23" t="s">
        <v>1188</v>
      </c>
      <c r="B10" s="23"/>
      <c r="C10" s="23"/>
      <c r="D10" s="23"/>
      <c r="E10" s="364"/>
      <c r="F10" s="23"/>
      <c r="G10" s="23"/>
    </row>
    <row r="11" spans="1:7" x14ac:dyDescent="0.25">
      <c r="A11" s="356"/>
      <c r="B11" s="345" t="s">
        <v>1107</v>
      </c>
      <c r="C11" s="345" t="s">
        <v>1189</v>
      </c>
      <c r="D11" s="345"/>
      <c r="E11" s="470" t="s">
        <v>1109</v>
      </c>
      <c r="F11" s="23"/>
      <c r="G11" s="23"/>
    </row>
    <row r="12" spans="1:7" x14ac:dyDescent="0.25">
      <c r="A12" s="387" t="s">
        <v>1336</v>
      </c>
      <c r="B12" s="339">
        <f>934000+975067</f>
        <v>1909067</v>
      </c>
      <c r="C12" s="339">
        <f>934000+975067</f>
        <v>1909067</v>
      </c>
      <c r="D12" s="368">
        <v>516235</v>
      </c>
      <c r="E12" s="341">
        <f>D12/B12*100</f>
        <v>27.041219611464655</v>
      </c>
      <c r="F12" s="374"/>
      <c r="G12" s="374"/>
    </row>
    <row r="13" spans="1:7" x14ac:dyDescent="0.25">
      <c r="A13" s="23"/>
      <c r="B13" s="23"/>
      <c r="C13" s="23"/>
      <c r="D13" s="23"/>
      <c r="E13" s="23"/>
      <c r="F13" s="23"/>
      <c r="G13" s="23"/>
    </row>
    <row r="14" spans="1:7" s="23" customFormat="1" ht="39" customHeight="1" x14ac:dyDescent="0.25">
      <c r="A14" s="596" t="s">
        <v>1425</v>
      </c>
      <c r="B14" s="596"/>
      <c r="C14" s="596"/>
      <c r="D14" s="596"/>
      <c r="E14" s="596"/>
    </row>
    <row r="15" spans="1:7" x14ac:dyDescent="0.25">
      <c r="A15" s="23"/>
      <c r="B15" s="23"/>
      <c r="C15" s="23"/>
      <c r="D15" s="23"/>
      <c r="E15" s="23"/>
      <c r="F15" s="23"/>
      <c r="G15" s="23"/>
    </row>
    <row r="16" spans="1:7" x14ac:dyDescent="0.25">
      <c r="A16" s="333" t="s">
        <v>1337</v>
      </c>
      <c r="B16" s="23"/>
      <c r="C16" s="23"/>
      <c r="D16" s="23"/>
      <c r="E16" s="23"/>
      <c r="F16" s="23"/>
      <c r="G16" s="23"/>
    </row>
    <row r="17" spans="1:7" x14ac:dyDescent="0.25">
      <c r="A17" s="23" t="s">
        <v>1188</v>
      </c>
      <c r="B17" s="23"/>
      <c r="C17" s="23"/>
      <c r="D17" s="23"/>
      <c r="E17" s="364"/>
      <c r="F17" s="23"/>
      <c r="G17" s="23"/>
    </row>
    <row r="18" spans="1:7" x14ac:dyDescent="0.25">
      <c r="A18" s="356"/>
      <c r="B18" s="345" t="s">
        <v>1107</v>
      </c>
      <c r="C18" s="345" t="s">
        <v>1189</v>
      </c>
      <c r="D18" s="345"/>
      <c r="E18" s="470" t="s">
        <v>1109</v>
      </c>
      <c r="F18" s="23"/>
      <c r="G18" s="23"/>
    </row>
    <row r="19" spans="1:7" x14ac:dyDescent="0.25">
      <c r="A19" s="387" t="s">
        <v>1338</v>
      </c>
      <c r="B19" s="379">
        <f>1600000+241512</f>
        <v>1841512</v>
      </c>
      <c r="C19" s="379">
        <f>1600000+241512</f>
        <v>1841512</v>
      </c>
      <c r="D19" s="339">
        <f>29597+25000+30633+40163+27024+26615</f>
        <v>179032</v>
      </c>
      <c r="E19" s="341">
        <f>D19/B19*100</f>
        <v>9.722011043099366</v>
      </c>
      <c r="F19" s="23"/>
      <c r="G19" s="23"/>
    </row>
    <row r="20" spans="1:7" x14ac:dyDescent="0.25">
      <c r="A20" s="23"/>
      <c r="B20" s="23"/>
      <c r="C20" s="23"/>
      <c r="D20" s="23"/>
      <c r="E20" s="23"/>
      <c r="F20" s="23"/>
      <c r="G20" s="23"/>
    </row>
    <row r="21" spans="1:7" s="23" customFormat="1" ht="29.25" customHeight="1" x14ac:dyDescent="0.25">
      <c r="A21" s="596" t="s">
        <v>1426</v>
      </c>
      <c r="B21" s="596"/>
      <c r="C21" s="596"/>
      <c r="D21" s="596"/>
      <c r="E21" s="596"/>
    </row>
    <row r="22" spans="1:7" x14ac:dyDescent="0.25">
      <c r="A22" s="23"/>
      <c r="B22" s="23"/>
      <c r="C22" s="23"/>
      <c r="D22" s="23"/>
      <c r="E22" s="23"/>
      <c r="F22" s="23"/>
      <c r="G22" s="23"/>
    </row>
    <row r="23" spans="1:7" x14ac:dyDescent="0.25">
      <c r="A23" s="333" t="s">
        <v>1339</v>
      </c>
      <c r="B23" s="23"/>
      <c r="C23" s="23"/>
      <c r="D23" s="23"/>
      <c r="E23" s="23"/>
      <c r="F23" s="23"/>
      <c r="G23" s="23"/>
    </row>
    <row r="24" spans="1:7" x14ac:dyDescent="0.25">
      <c r="A24" s="23" t="s">
        <v>1188</v>
      </c>
      <c r="B24" s="23"/>
      <c r="C24" s="23"/>
      <c r="D24" s="23"/>
      <c r="E24" s="364"/>
      <c r="F24" s="23"/>
      <c r="G24" s="23"/>
    </row>
    <row r="25" spans="1:7" x14ac:dyDescent="0.25">
      <c r="A25" s="356"/>
      <c r="B25" s="345" t="s">
        <v>1107</v>
      </c>
      <c r="C25" s="345" t="s">
        <v>1189</v>
      </c>
      <c r="D25" s="345"/>
      <c r="E25" s="470" t="s">
        <v>1109</v>
      </c>
      <c r="F25" s="23"/>
      <c r="G25" s="23"/>
    </row>
    <row r="26" spans="1:7" x14ac:dyDescent="0.25">
      <c r="A26" s="387" t="s">
        <v>1340</v>
      </c>
      <c r="B26" s="471">
        <v>1731000</v>
      </c>
      <c r="C26" s="379">
        <v>692000</v>
      </c>
      <c r="D26" s="471">
        <f>242440+252990+280489+232499+240450+215250</f>
        <v>1464118</v>
      </c>
      <c r="E26" s="341">
        <f>D26/B26*100</f>
        <v>84.582206816868862</v>
      </c>
      <c r="F26" s="472"/>
      <c r="G26" s="23"/>
    </row>
    <row r="27" spans="1:7" x14ac:dyDescent="0.25">
      <c r="A27" s="23"/>
      <c r="B27" s="23"/>
      <c r="C27" s="23"/>
      <c r="D27" s="23"/>
      <c r="E27" s="23"/>
      <c r="F27" s="23"/>
      <c r="G27" s="23"/>
    </row>
    <row r="28" spans="1:7" ht="57" customHeight="1" x14ac:dyDescent="0.25">
      <c r="A28" s="596" t="s">
        <v>1427</v>
      </c>
      <c r="B28" s="596"/>
      <c r="C28" s="596"/>
      <c r="D28" s="596"/>
      <c r="E28" s="596"/>
    </row>
  </sheetData>
  <mergeCells count="4">
    <mergeCell ref="A7:E7"/>
    <mergeCell ref="A14:E14"/>
    <mergeCell ref="A21:E21"/>
    <mergeCell ref="A28:E28"/>
  </mergeCells>
  <dataValidations count="1">
    <dataValidation type="whole" allowBlank="1" showInputMessage="1" showErrorMessage="1" sqref="G19">
      <formula1>-99999999999</formula1>
      <formula2>999999999999</formula2>
    </dataValidation>
  </dataValidations>
  <pageMargins left="0.70866141732283505" right="0.70866141732283505" top="0.74803149606299202" bottom="0.74803149606299202" header="0.31496062992126" footer="0.31496062992126"/>
  <pageSetup paperSize="9" scale="80"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view="pageBreakPreview" zoomScale="90" zoomScaleNormal="100" zoomScaleSheetLayoutView="90" workbookViewId="0">
      <selection activeCell="K1" sqref="K1"/>
    </sheetView>
  </sheetViews>
  <sheetFormatPr defaultRowHeight="15" x14ac:dyDescent="0.25"/>
  <cols>
    <col min="1" max="9" width="9.140625" style="2"/>
    <col min="10" max="10" width="12.7109375" style="2" customWidth="1"/>
    <col min="11" max="16384" width="9.140625" style="2"/>
  </cols>
  <sheetData>
    <row r="1" spans="1:10" ht="409.5" customHeight="1" x14ac:dyDescent="0.25">
      <c r="A1" s="601" t="s">
        <v>1439</v>
      </c>
      <c r="B1" s="602"/>
      <c r="C1" s="602"/>
      <c r="D1" s="602"/>
      <c r="E1" s="602"/>
      <c r="F1" s="602"/>
      <c r="G1" s="602"/>
      <c r="H1" s="602"/>
      <c r="I1" s="602"/>
      <c r="J1" s="602"/>
    </row>
    <row r="2" spans="1:10" ht="16.5" x14ac:dyDescent="0.25">
      <c r="A2" s="528"/>
    </row>
    <row r="3" spans="1:10" ht="32.25" customHeight="1" x14ac:dyDescent="0.25">
      <c r="A3" s="529"/>
      <c r="B3" s="529"/>
      <c r="C3" s="529"/>
      <c r="D3" s="529"/>
      <c r="E3" s="529"/>
      <c r="F3" s="529"/>
      <c r="G3" s="529"/>
      <c r="H3" s="529"/>
      <c r="I3" s="529"/>
      <c r="J3" s="529"/>
    </row>
    <row r="4" spans="1:10" ht="16.5" x14ac:dyDescent="0.25">
      <c r="A4" s="528"/>
    </row>
    <row r="5" spans="1:10" ht="51.75" customHeight="1" x14ac:dyDescent="0.25">
      <c r="A5" s="530"/>
    </row>
  </sheetData>
  <mergeCells count="1">
    <mergeCell ref="A1:J1"/>
  </mergeCells>
  <pageMargins left="0.70866141732283472" right="0.70866141732283472" top="0.74803149606299213" bottom="0.74803149606299213" header="0.31496062992125984" footer="0.31496062992125984"/>
  <pageSetup paperSize="9" scale="91" orientation="portrait" r:id="rId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view="pageBreakPreview" zoomScale="90" zoomScaleNormal="100" zoomScaleSheetLayoutView="90" workbookViewId="0">
      <selection activeCell="G14" sqref="G14"/>
    </sheetView>
  </sheetViews>
  <sheetFormatPr defaultRowHeight="16.5" x14ac:dyDescent="0.3"/>
  <cols>
    <col min="1" max="1" width="85" style="489" customWidth="1"/>
    <col min="2" max="16384" width="9.140625" style="489"/>
  </cols>
  <sheetData>
    <row r="1" spans="1:1" x14ac:dyDescent="0.3">
      <c r="A1" s="531" t="s">
        <v>1389</v>
      </c>
    </row>
    <row r="3" spans="1:1" x14ac:dyDescent="0.3">
      <c r="A3" s="528" t="s">
        <v>1390</v>
      </c>
    </row>
    <row r="4" spans="1:1" x14ac:dyDescent="0.3">
      <c r="A4" s="528"/>
    </row>
    <row r="5" spans="1:1" x14ac:dyDescent="0.3">
      <c r="A5" s="528" t="s">
        <v>1428</v>
      </c>
    </row>
    <row r="6" spans="1:1" ht="61.5" customHeight="1" x14ac:dyDescent="0.3">
      <c r="A6" s="528" t="s">
        <v>1440</v>
      </c>
    </row>
    <row r="7" spans="1:1" ht="40.5" customHeight="1" x14ac:dyDescent="0.3">
      <c r="A7" s="528" t="s">
        <v>1391</v>
      </c>
    </row>
  </sheetData>
  <pageMargins left="0.70866141732283505" right="0.70866141732283505" top="0.74803149606299202" bottom="0.74803149606299202" header="0.31496062992126" footer="0.31496062992126"/>
  <pageSetup paperSize="9" scale="75" orientation="portrait" r:id="rId1"/>
  <headerFoot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90" zoomScaleNormal="100" zoomScaleSheetLayoutView="90" workbookViewId="0">
      <selection activeCell="D17" sqref="D17"/>
    </sheetView>
  </sheetViews>
  <sheetFormatPr defaultRowHeight="15" x14ac:dyDescent="0.25"/>
  <cols>
    <col min="1" max="1" width="86.42578125" customWidth="1"/>
    <col min="3" max="3" width="12.140625" customWidth="1"/>
    <col min="4" max="4" width="9.140625" customWidth="1"/>
    <col min="6" max="6" width="29.140625" customWidth="1"/>
  </cols>
  <sheetData/>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A6" zoomScale="90" zoomScaleNormal="100" zoomScaleSheetLayoutView="90" workbookViewId="0">
      <selection activeCell="A11" sqref="A11"/>
    </sheetView>
  </sheetViews>
  <sheetFormatPr defaultRowHeight="48" customHeight="1" x14ac:dyDescent="0.25"/>
  <cols>
    <col min="1" max="1" width="135.7109375" customWidth="1"/>
  </cols>
  <sheetData>
    <row r="1" spans="1:10" ht="48" customHeight="1" x14ac:dyDescent="0.25">
      <c r="A1" s="475" t="s">
        <v>1341</v>
      </c>
      <c r="B1" s="23"/>
      <c r="C1" s="23"/>
      <c r="D1" s="23"/>
      <c r="E1" s="23"/>
      <c r="F1" s="23"/>
      <c r="G1" s="23"/>
      <c r="H1" s="23"/>
      <c r="I1" s="23"/>
      <c r="J1" s="23"/>
    </row>
    <row r="2" spans="1:10" ht="1.5" customHeight="1" x14ac:dyDescent="0.25">
      <c r="A2" s="476"/>
      <c r="B2" s="23"/>
      <c r="C2" s="23"/>
      <c r="D2" s="23"/>
      <c r="E2" s="23"/>
      <c r="F2" s="23"/>
      <c r="G2" s="23"/>
      <c r="H2" s="23"/>
      <c r="I2" s="23"/>
      <c r="J2" s="23"/>
    </row>
    <row r="3" spans="1:10" ht="111.75" customHeight="1" x14ac:dyDescent="0.25">
      <c r="A3" s="476" t="s">
        <v>1342</v>
      </c>
      <c r="B3" s="473"/>
      <c r="C3" s="473"/>
      <c r="D3" s="473"/>
      <c r="E3" s="473"/>
      <c r="F3" s="473"/>
      <c r="G3" s="473"/>
      <c r="H3" s="473"/>
      <c r="I3" s="473"/>
      <c r="J3" s="473"/>
    </row>
    <row r="4" spans="1:10" ht="30" customHeight="1" x14ac:dyDescent="0.25">
      <c r="A4" s="475"/>
    </row>
    <row r="5" spans="1:10" ht="29.25" customHeight="1" x14ac:dyDescent="0.25">
      <c r="A5" s="475" t="s">
        <v>1343</v>
      </c>
    </row>
    <row r="6" spans="1:10" ht="27" customHeight="1" x14ac:dyDescent="0.25">
      <c r="A6" s="475"/>
    </row>
    <row r="7" spans="1:10" ht="48" customHeight="1" x14ac:dyDescent="0.25">
      <c r="A7" s="475" t="s">
        <v>1344</v>
      </c>
    </row>
    <row r="8" spans="1:10" ht="22.5" customHeight="1" x14ac:dyDescent="0.25">
      <c r="A8" s="476"/>
    </row>
    <row r="9" spans="1:10" ht="24.75" customHeight="1" x14ac:dyDescent="0.25">
      <c r="A9" s="476" t="s">
        <v>1345</v>
      </c>
    </row>
    <row r="10" spans="1:10" ht="50.25" customHeight="1" x14ac:dyDescent="0.25">
      <c r="A10" s="476" t="s">
        <v>1346</v>
      </c>
    </row>
    <row r="11" spans="1:10" ht="30" customHeight="1" x14ac:dyDescent="0.25">
      <c r="A11" s="476" t="s">
        <v>1347</v>
      </c>
    </row>
    <row r="12" spans="1:10" ht="36" customHeight="1" x14ac:dyDescent="0.25">
      <c r="A12" s="476" t="s">
        <v>1348</v>
      </c>
    </row>
    <row r="13" spans="1:10" ht="55.5" customHeight="1" x14ac:dyDescent="0.25">
      <c r="A13" s="476" t="s">
        <v>1349</v>
      </c>
    </row>
    <row r="14" spans="1:10" ht="30" customHeight="1" x14ac:dyDescent="0.25">
      <c r="A14" s="476" t="s">
        <v>1350</v>
      </c>
    </row>
    <row r="15" spans="1:10" ht="29.25" customHeight="1" x14ac:dyDescent="0.25">
      <c r="A15" s="476"/>
    </row>
    <row r="16" spans="1:10" ht="39" customHeight="1" x14ac:dyDescent="0.25">
      <c r="A16" s="476" t="s">
        <v>1393</v>
      </c>
    </row>
    <row r="17" spans="1:1" ht="2.25" customHeight="1" x14ac:dyDescent="0.25">
      <c r="A17" s="474"/>
    </row>
    <row r="18" spans="1:1" ht="19.5" customHeight="1" x14ac:dyDescent="0.25">
      <c r="A18" s="474"/>
    </row>
    <row r="19" spans="1:1" ht="24.75" customHeight="1" x14ac:dyDescent="0.25">
      <c r="A19" s="474"/>
    </row>
    <row r="20" spans="1:1" ht="27" customHeight="1" x14ac:dyDescent="0.25">
      <c r="A20" s="474"/>
    </row>
    <row r="21" spans="1:1" ht="27" customHeight="1" x14ac:dyDescent="0.25">
      <c r="A21" s="474"/>
    </row>
    <row r="22" spans="1:1" ht="27.75" customHeight="1" x14ac:dyDescent="0.25">
      <c r="A22" s="474"/>
    </row>
    <row r="23" spans="1:1" ht="22.5" customHeight="1" x14ac:dyDescent="0.25">
      <c r="A23" s="474"/>
    </row>
    <row r="24" spans="1:1" ht="48" customHeight="1" x14ac:dyDescent="0.25">
      <c r="A24" s="474"/>
    </row>
    <row r="25" spans="1:1" ht="48" customHeight="1" x14ac:dyDescent="0.25">
      <c r="A25" s="473"/>
    </row>
  </sheetData>
  <pageMargins left="0.70866141732283505" right="0.70866141732283505" top="0.74803149606299202" bottom="0.74803149606299202" header="0.31496062992126" footer="0.31496062992126"/>
  <pageSetup paperSize="9" scale="75" orientation="portrait" r:id="rId1"/>
  <headerFoot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BreakPreview" topLeftCell="A5" zoomScale="90" zoomScaleNormal="100" zoomScaleSheetLayoutView="90" workbookViewId="0">
      <selection activeCell="A16" sqref="A16"/>
    </sheetView>
  </sheetViews>
  <sheetFormatPr defaultRowHeight="16.5" x14ac:dyDescent="0.3"/>
  <cols>
    <col min="1" max="1" width="85.7109375" style="489" customWidth="1"/>
    <col min="2" max="16384" width="9.140625" style="489"/>
  </cols>
  <sheetData>
    <row r="1" spans="1:1" ht="16.5" customHeight="1" x14ac:dyDescent="0.3">
      <c r="A1" s="491" t="s">
        <v>1355</v>
      </c>
    </row>
    <row r="2" spans="1:1" x14ac:dyDescent="0.3">
      <c r="A2" s="492"/>
    </row>
    <row r="3" spans="1:1" ht="220.5" customHeight="1" x14ac:dyDescent="0.3">
      <c r="A3" s="493" t="s">
        <v>1429</v>
      </c>
    </row>
    <row r="4" spans="1:1" ht="134.25" customHeight="1" x14ac:dyDescent="0.3">
      <c r="A4" s="493" t="s">
        <v>1430</v>
      </c>
    </row>
    <row r="5" spans="1:1" ht="63.75" customHeight="1" x14ac:dyDescent="0.3">
      <c r="A5" s="493" t="s">
        <v>1431</v>
      </c>
    </row>
    <row r="6" spans="1:1" ht="77.25" customHeight="1" x14ac:dyDescent="0.3">
      <c r="A6" s="494" t="s">
        <v>1432</v>
      </c>
    </row>
    <row r="7" spans="1:1" ht="57.75" customHeight="1" x14ac:dyDescent="0.3">
      <c r="A7" s="493" t="s">
        <v>1434</v>
      </c>
    </row>
    <row r="8" spans="1:1" ht="24" customHeight="1" x14ac:dyDescent="0.3">
      <c r="A8" s="495" t="s">
        <v>1433</v>
      </c>
    </row>
    <row r="9" spans="1:1" ht="24" customHeight="1" x14ac:dyDescent="0.3">
      <c r="A9" s="494" t="s">
        <v>1351</v>
      </c>
    </row>
    <row r="10" spans="1:1" ht="21.75" customHeight="1" x14ac:dyDescent="0.3">
      <c r="A10" s="494" t="s">
        <v>1352</v>
      </c>
    </row>
    <row r="11" spans="1:1" ht="24" customHeight="1" x14ac:dyDescent="0.3">
      <c r="A11" s="494" t="s">
        <v>1353</v>
      </c>
    </row>
    <row r="12" spans="1:1" ht="27" customHeight="1" x14ac:dyDescent="0.3">
      <c r="A12" s="494" t="s">
        <v>1354</v>
      </c>
    </row>
  </sheetData>
  <pageMargins left="0.70866141732283505" right="0.70866141732283505" top="0.74803149606299202" bottom="0.74803149606299202" header="0.31496062992126" footer="0.31496062992126"/>
  <pageSetup paperSize="9" scale="8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view="pageBreakPreview" zoomScale="90" zoomScaleNormal="90" zoomScaleSheetLayoutView="90" workbookViewId="0">
      <selection activeCell="B2" sqref="B2"/>
    </sheetView>
  </sheetViews>
  <sheetFormatPr defaultRowHeight="16.5" x14ac:dyDescent="0.3"/>
  <cols>
    <col min="1" max="1" width="11.140625" style="489" customWidth="1"/>
    <col min="2" max="2" width="102.42578125" style="489" customWidth="1"/>
    <col min="3" max="16384" width="9.140625" style="489"/>
  </cols>
  <sheetData>
    <row r="1" spans="1:2" ht="243" thickTop="1" thickBot="1" x14ac:dyDescent="0.35">
      <c r="A1" s="496" t="s">
        <v>1358</v>
      </c>
      <c r="B1" s="497" t="s">
        <v>1394</v>
      </c>
    </row>
    <row r="2" spans="1:2" ht="124.5" customHeight="1" thickTop="1" thickBot="1" x14ac:dyDescent="0.35">
      <c r="A2" s="532" t="s">
        <v>1357</v>
      </c>
      <c r="B2" s="498" t="s">
        <v>1356</v>
      </c>
    </row>
    <row r="3" spans="1:2" ht="409.6" customHeight="1" thickTop="1" thickBot="1" x14ac:dyDescent="0.35">
      <c r="A3" s="532"/>
      <c r="B3" s="499"/>
    </row>
    <row r="4" spans="1:2" ht="17.25" thickTop="1" x14ac:dyDescent="0.3"/>
  </sheetData>
  <mergeCells count="1">
    <mergeCell ref="A2:A3"/>
  </mergeCells>
  <pageMargins left="0.70866141732283505" right="0.70866141732283505" top="0.74803149606299202" bottom="0.74803149606299202" header="0.31496062992126" footer="0.31496062992126"/>
  <pageSetup paperSize="9" scale="75" fitToHeight="0"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S38"/>
  <sheetViews>
    <sheetView view="pageBreakPreview" topLeftCell="D6" zoomScale="90" zoomScaleNormal="100" zoomScaleSheetLayoutView="90" workbookViewId="0">
      <selection activeCell="D17" sqref="D17"/>
    </sheetView>
  </sheetViews>
  <sheetFormatPr defaultRowHeight="15" x14ac:dyDescent="0.25"/>
  <cols>
    <col min="1" max="1" width="4.5703125" style="9" customWidth="1"/>
    <col min="2" max="2" width="10.7109375" customWidth="1"/>
    <col min="3" max="3" width="10.42578125" customWidth="1"/>
    <col min="4" max="4" width="14.5703125" customWidth="1"/>
    <col min="5" max="5" width="14.42578125" customWidth="1"/>
    <col min="6" max="6" width="10.42578125" style="9" customWidth="1"/>
    <col min="7" max="7" width="9.42578125" customWidth="1"/>
    <col min="8" max="8" width="12.28515625" style="23" customWidth="1"/>
    <col min="9" max="9" width="12.28515625" style="41" customWidth="1"/>
    <col min="10" max="11" width="12.28515625" style="23" customWidth="1"/>
    <col min="12" max="12" width="14" style="23" customWidth="1"/>
    <col min="13" max="13" width="14" customWidth="1"/>
  </cols>
  <sheetData>
    <row r="1" spans="1:253" s="77" customFormat="1" ht="24.75" customHeight="1" thickTop="1" x14ac:dyDescent="0.2">
      <c r="A1" s="533" t="s">
        <v>51</v>
      </c>
      <c r="B1" s="534"/>
      <c r="C1" s="534"/>
      <c r="D1" s="534"/>
      <c r="E1" s="534"/>
      <c r="F1" s="534"/>
      <c r="G1" s="534"/>
      <c r="H1" s="534"/>
      <c r="I1" s="534"/>
      <c r="J1" s="534"/>
      <c r="K1" s="534"/>
      <c r="L1" s="534"/>
      <c r="M1" s="535"/>
    </row>
    <row r="2" spans="1:253" s="77" customFormat="1" ht="13.5" customHeight="1" x14ac:dyDescent="0.2">
      <c r="A2" s="536" t="s">
        <v>22</v>
      </c>
      <c r="B2" s="537"/>
      <c r="C2" s="537"/>
      <c r="D2" s="537"/>
      <c r="E2" s="537"/>
      <c r="F2" s="537"/>
      <c r="G2" s="537"/>
      <c r="H2" s="537"/>
      <c r="I2" s="537"/>
      <c r="J2" s="537"/>
      <c r="K2" s="537"/>
      <c r="L2" s="537"/>
      <c r="M2" s="538"/>
    </row>
    <row r="3" spans="1:253" ht="27" customHeight="1" thickBot="1" x14ac:dyDescent="0.3">
      <c r="A3" s="539" t="s">
        <v>34</v>
      </c>
      <c r="B3" s="540"/>
      <c r="C3" s="540"/>
      <c r="D3" s="540"/>
      <c r="E3" s="540"/>
      <c r="F3" s="540"/>
      <c r="G3" s="540"/>
      <c r="H3" s="540"/>
      <c r="I3" s="540"/>
      <c r="J3" s="540"/>
      <c r="K3" s="540"/>
      <c r="L3" s="540"/>
      <c r="M3" s="541"/>
    </row>
    <row r="4" spans="1:253" s="81" customFormat="1" ht="55.5" customHeight="1" thickTop="1" thickBot="1" x14ac:dyDescent="0.25">
      <c r="A4" s="78" t="s">
        <v>2</v>
      </c>
      <c r="B4" s="79" t="s">
        <v>0</v>
      </c>
      <c r="C4" s="79" t="s">
        <v>68</v>
      </c>
      <c r="D4" s="79" t="s">
        <v>8</v>
      </c>
      <c r="E4" s="79" t="s">
        <v>21</v>
      </c>
      <c r="F4" s="78" t="s">
        <v>9</v>
      </c>
      <c r="G4" s="80" t="s">
        <v>116</v>
      </c>
      <c r="H4" s="78" t="s">
        <v>711</v>
      </c>
      <c r="I4" s="78" t="s">
        <v>739</v>
      </c>
      <c r="J4" s="79" t="s">
        <v>633</v>
      </c>
      <c r="K4" s="79" t="s">
        <v>634</v>
      </c>
      <c r="L4" s="79" t="s">
        <v>635</v>
      </c>
      <c r="M4" s="10" t="s">
        <v>10</v>
      </c>
    </row>
    <row r="5" spans="1:253" s="13" customFormat="1" ht="96.75" customHeight="1" thickTop="1" thickBot="1" x14ac:dyDescent="0.3">
      <c r="A5" s="152">
        <v>50</v>
      </c>
      <c r="B5" s="91" t="s">
        <v>115</v>
      </c>
      <c r="C5" s="91" t="s">
        <v>40</v>
      </c>
      <c r="D5" s="91" t="s">
        <v>434</v>
      </c>
      <c r="E5" s="91" t="s">
        <v>435</v>
      </c>
      <c r="F5" s="153">
        <v>1725</v>
      </c>
      <c r="G5" s="91" t="s">
        <v>11</v>
      </c>
      <c r="H5" s="6">
        <v>900</v>
      </c>
      <c r="I5" s="6" t="s">
        <v>935</v>
      </c>
      <c r="J5" s="202" t="s">
        <v>841</v>
      </c>
      <c r="K5" s="197" t="s">
        <v>712</v>
      </c>
      <c r="L5" s="209">
        <v>154257</v>
      </c>
      <c r="M5" s="91" t="s">
        <v>58</v>
      </c>
    </row>
    <row r="6" spans="1:253" s="23" customFormat="1" ht="61.5" customHeight="1" thickTop="1" thickBot="1" x14ac:dyDescent="0.3">
      <c r="A6" s="4">
        <v>22</v>
      </c>
      <c r="B6" s="6" t="s">
        <v>23</v>
      </c>
      <c r="C6" s="6" t="s">
        <v>43</v>
      </c>
      <c r="D6" s="42" t="s">
        <v>436</v>
      </c>
      <c r="E6" s="42" t="s">
        <v>117</v>
      </c>
      <c r="F6" s="75" t="s">
        <v>158</v>
      </c>
      <c r="G6" s="6" t="s">
        <v>11</v>
      </c>
      <c r="H6" s="6" t="s">
        <v>1</v>
      </c>
      <c r="I6" s="133" t="s">
        <v>12</v>
      </c>
      <c r="J6" s="6" t="s">
        <v>12</v>
      </c>
      <c r="K6" s="6" t="s">
        <v>12</v>
      </c>
      <c r="L6" s="91" t="s">
        <v>11</v>
      </c>
      <c r="M6" s="6" t="s">
        <v>36</v>
      </c>
    </row>
    <row r="7" spans="1:253" s="23" customFormat="1" ht="62.25" customHeight="1" thickTop="1" thickBot="1" x14ac:dyDescent="0.3">
      <c r="A7" s="4">
        <v>22</v>
      </c>
      <c r="B7" s="6" t="s">
        <v>23</v>
      </c>
      <c r="C7" s="6" t="s">
        <v>43</v>
      </c>
      <c r="D7" s="42" t="s">
        <v>486</v>
      </c>
      <c r="E7" s="42" t="s">
        <v>487</v>
      </c>
      <c r="F7" s="75" t="s">
        <v>118</v>
      </c>
      <c r="G7" s="6" t="s">
        <v>11</v>
      </c>
      <c r="H7" s="6" t="s">
        <v>1</v>
      </c>
      <c r="I7" s="133" t="s">
        <v>12</v>
      </c>
      <c r="J7" s="6" t="s">
        <v>12</v>
      </c>
      <c r="K7" s="6" t="s">
        <v>12</v>
      </c>
      <c r="L7" s="91" t="s">
        <v>11</v>
      </c>
      <c r="M7" s="6" t="s">
        <v>36</v>
      </c>
    </row>
    <row r="8" spans="1:253" ht="57.75" customHeight="1" thickTop="1" thickBot="1" x14ac:dyDescent="0.3">
      <c r="A8" s="4">
        <v>22</v>
      </c>
      <c r="B8" s="6" t="s">
        <v>23</v>
      </c>
      <c r="C8" s="6" t="s">
        <v>43</v>
      </c>
      <c r="D8" s="6" t="s">
        <v>119</v>
      </c>
      <c r="E8" s="6" t="s">
        <v>113</v>
      </c>
      <c r="F8" s="5">
        <v>1</v>
      </c>
      <c r="G8" s="6" t="s">
        <v>11</v>
      </c>
      <c r="H8" s="7">
        <v>0.5</v>
      </c>
      <c r="I8" s="132" t="s">
        <v>713</v>
      </c>
      <c r="J8" s="6" t="s">
        <v>12</v>
      </c>
      <c r="K8" s="6" t="s">
        <v>12</v>
      </c>
      <c r="L8" s="91" t="s">
        <v>11</v>
      </c>
      <c r="M8" s="6" t="s">
        <v>59</v>
      </c>
    </row>
    <row r="9" spans="1:253" ht="84.75" customHeight="1" thickTop="1" thickBot="1" x14ac:dyDescent="0.3">
      <c r="A9" s="4">
        <v>22</v>
      </c>
      <c r="B9" s="6" t="s">
        <v>24</v>
      </c>
      <c r="C9" s="6" t="s">
        <v>63</v>
      </c>
      <c r="D9" s="6" t="s">
        <v>512</v>
      </c>
      <c r="E9" s="6" t="s">
        <v>513</v>
      </c>
      <c r="F9" s="6" t="s">
        <v>514</v>
      </c>
      <c r="G9" s="6" t="s">
        <v>13</v>
      </c>
      <c r="H9" s="6" t="s">
        <v>514</v>
      </c>
      <c r="I9" s="133" t="s">
        <v>1367</v>
      </c>
      <c r="J9" s="6" t="s">
        <v>12</v>
      </c>
      <c r="K9" s="6" t="s">
        <v>12</v>
      </c>
      <c r="L9" s="91" t="s">
        <v>11</v>
      </c>
      <c r="M9" s="8" t="s">
        <v>14</v>
      </c>
    </row>
    <row r="10" spans="1:253" ht="106.5" customHeight="1" thickTop="1" thickBot="1" x14ac:dyDescent="0.3">
      <c r="A10" s="4">
        <v>22</v>
      </c>
      <c r="B10" s="6" t="s">
        <v>24</v>
      </c>
      <c r="C10" s="6" t="s">
        <v>63</v>
      </c>
      <c r="D10" s="6" t="s">
        <v>437</v>
      </c>
      <c r="E10" s="6" t="s">
        <v>441</v>
      </c>
      <c r="F10" s="132">
        <v>1</v>
      </c>
      <c r="G10" s="6" t="s">
        <v>13</v>
      </c>
      <c r="H10" s="7">
        <v>1</v>
      </c>
      <c r="I10" s="203" t="s">
        <v>796</v>
      </c>
      <c r="J10" s="7" t="s">
        <v>638</v>
      </c>
      <c r="K10" s="7" t="s">
        <v>638</v>
      </c>
      <c r="L10" s="91" t="s">
        <v>11</v>
      </c>
      <c r="M10" s="8" t="s">
        <v>14</v>
      </c>
    </row>
    <row r="11" spans="1:253" s="46" customFormat="1" ht="84" customHeight="1" thickTop="1" thickBot="1" x14ac:dyDescent="0.3">
      <c r="A11" s="44">
        <v>22</v>
      </c>
      <c r="B11" s="45" t="s">
        <v>24</v>
      </c>
      <c r="C11" s="45" t="s">
        <v>64</v>
      </c>
      <c r="D11" s="45" t="s">
        <v>515</v>
      </c>
      <c r="E11" s="45" t="s">
        <v>516</v>
      </c>
      <c r="F11" s="45" t="s">
        <v>517</v>
      </c>
      <c r="G11" s="45" t="s">
        <v>13</v>
      </c>
      <c r="H11" s="45" t="s">
        <v>517</v>
      </c>
      <c r="I11" s="204" t="s">
        <v>808</v>
      </c>
      <c r="J11" s="45" t="s">
        <v>1</v>
      </c>
      <c r="K11" s="45" t="s">
        <v>1</v>
      </c>
      <c r="L11" s="91" t="s">
        <v>11</v>
      </c>
      <c r="M11" s="45" t="s">
        <v>98</v>
      </c>
    </row>
    <row r="12" spans="1:253" s="48" customFormat="1" ht="67.5" customHeight="1" thickTop="1" thickBot="1" x14ac:dyDescent="0.3">
      <c r="A12" s="43">
        <v>33</v>
      </c>
      <c r="B12" s="42" t="s">
        <v>25</v>
      </c>
      <c r="C12" s="42" t="s">
        <v>64</v>
      </c>
      <c r="D12" s="42" t="s">
        <v>120</v>
      </c>
      <c r="E12" s="42" t="s">
        <v>121</v>
      </c>
      <c r="F12" s="42" t="s">
        <v>121</v>
      </c>
      <c r="G12" s="42" t="s">
        <v>13</v>
      </c>
      <c r="H12" s="47" t="s">
        <v>1</v>
      </c>
      <c r="I12" s="136" t="s">
        <v>1</v>
      </c>
      <c r="J12" s="47" t="s">
        <v>1</v>
      </c>
      <c r="K12" s="47" t="s">
        <v>1</v>
      </c>
      <c r="L12" s="91" t="s">
        <v>11</v>
      </c>
      <c r="M12" s="42" t="s">
        <v>99</v>
      </c>
    </row>
    <row r="13" spans="1:253" ht="83.25" customHeight="1" thickTop="1" thickBot="1" x14ac:dyDescent="0.3">
      <c r="A13" s="4">
        <v>33</v>
      </c>
      <c r="B13" s="6" t="s">
        <v>25</v>
      </c>
      <c r="C13" s="6" t="s">
        <v>44</v>
      </c>
      <c r="D13" s="6" t="s">
        <v>438</v>
      </c>
      <c r="E13" s="6" t="s">
        <v>439</v>
      </c>
      <c r="F13" s="133" t="s">
        <v>440</v>
      </c>
      <c r="G13" s="6" t="s">
        <v>11</v>
      </c>
      <c r="H13" s="47" t="s">
        <v>1</v>
      </c>
      <c r="I13" s="133" t="s">
        <v>12</v>
      </c>
      <c r="J13" s="6" t="s">
        <v>12</v>
      </c>
      <c r="K13" s="6" t="s">
        <v>12</v>
      </c>
      <c r="L13" s="91" t="s">
        <v>11</v>
      </c>
      <c r="M13" s="6" t="s">
        <v>100</v>
      </c>
    </row>
    <row r="14" spans="1:253" ht="76.5" customHeight="1" thickTop="1" thickBot="1" x14ac:dyDescent="0.3">
      <c r="A14" s="4">
        <v>54</v>
      </c>
      <c r="B14" s="6" t="s">
        <v>25</v>
      </c>
      <c r="C14" s="6" t="s">
        <v>45</v>
      </c>
      <c r="D14" s="6" t="s">
        <v>114</v>
      </c>
      <c r="E14" s="6" t="s">
        <v>442</v>
      </c>
      <c r="F14" s="4">
        <v>4</v>
      </c>
      <c r="G14" s="6" t="s">
        <v>13</v>
      </c>
      <c r="H14" s="4" t="s">
        <v>1395</v>
      </c>
      <c r="I14" s="133" t="s">
        <v>714</v>
      </c>
      <c r="J14" s="6" t="s">
        <v>12</v>
      </c>
      <c r="K14" s="6" t="s">
        <v>12</v>
      </c>
      <c r="L14" s="91" t="s">
        <v>11</v>
      </c>
      <c r="M14" s="6" t="s">
        <v>100</v>
      </c>
    </row>
    <row r="15" spans="1:253" ht="100.5" customHeight="1" thickTop="1" thickBot="1" x14ac:dyDescent="0.3">
      <c r="A15" s="4">
        <v>54</v>
      </c>
      <c r="B15" s="6" t="s">
        <v>25</v>
      </c>
      <c r="C15" s="6" t="s">
        <v>46</v>
      </c>
      <c r="D15" s="6" t="s">
        <v>443</v>
      </c>
      <c r="E15" s="6" t="s">
        <v>444</v>
      </c>
      <c r="F15" s="4">
        <v>5</v>
      </c>
      <c r="G15" s="6" t="s">
        <v>13</v>
      </c>
      <c r="H15" s="4" t="s">
        <v>786</v>
      </c>
      <c r="I15" s="133" t="s">
        <v>715</v>
      </c>
      <c r="J15" s="6" t="s">
        <v>716</v>
      </c>
      <c r="K15" s="6" t="s">
        <v>717</v>
      </c>
      <c r="L15" s="91" t="s">
        <v>11</v>
      </c>
      <c r="M15" s="6" t="s">
        <v>6</v>
      </c>
    </row>
    <row r="16" spans="1:253" s="29" customFormat="1" ht="90" customHeight="1" thickTop="1" thickBot="1" x14ac:dyDescent="0.3">
      <c r="A16" s="4">
        <v>54</v>
      </c>
      <c r="B16" s="6" t="s">
        <v>25</v>
      </c>
      <c r="C16" s="6" t="s">
        <v>46</v>
      </c>
      <c r="D16" s="6" t="s">
        <v>447</v>
      </c>
      <c r="E16" s="6" t="s">
        <v>448</v>
      </c>
      <c r="F16" s="4">
        <v>1</v>
      </c>
      <c r="G16" s="6" t="s">
        <v>13</v>
      </c>
      <c r="H16" s="4" t="s">
        <v>1396</v>
      </c>
      <c r="I16" s="133" t="s">
        <v>718</v>
      </c>
      <c r="J16" s="6" t="s">
        <v>1</v>
      </c>
      <c r="K16" s="6" t="s">
        <v>1</v>
      </c>
      <c r="L16" s="91" t="s">
        <v>11</v>
      </c>
      <c r="M16" s="6" t="s">
        <v>100</v>
      </c>
      <c r="N16" s="27"/>
      <c r="O16" s="28"/>
      <c r="P16" s="28"/>
      <c r="Q16" s="28"/>
      <c r="R16" s="28"/>
      <c r="S16" s="27"/>
      <c r="T16" s="28"/>
      <c r="U16" s="28"/>
      <c r="V16" s="28"/>
      <c r="W16" s="28"/>
      <c r="X16" s="28"/>
      <c r="Y16" s="28"/>
      <c r="Z16" s="28"/>
      <c r="AA16" s="28"/>
      <c r="AB16" s="28"/>
      <c r="AC16" s="28"/>
      <c r="AD16" s="27"/>
      <c r="AE16" s="28"/>
      <c r="AF16" s="28"/>
      <c r="AG16" s="28"/>
      <c r="AH16" s="28"/>
      <c r="AI16" s="27"/>
      <c r="AJ16" s="28"/>
      <c r="AK16" s="28"/>
      <c r="AL16" s="28"/>
      <c r="AM16" s="28"/>
      <c r="AN16" s="28"/>
      <c r="AO16" s="28"/>
      <c r="AP16" s="28"/>
      <c r="AQ16" s="28"/>
      <c r="AR16" s="28"/>
      <c r="AS16" s="28"/>
      <c r="AT16" s="27"/>
      <c r="AU16" s="28"/>
      <c r="AV16" s="28"/>
      <c r="AW16" s="28"/>
      <c r="AX16" s="28"/>
      <c r="AY16" s="27"/>
      <c r="AZ16" s="28"/>
      <c r="BA16" s="28"/>
      <c r="BB16" s="28"/>
      <c r="BC16" s="28"/>
      <c r="BD16" s="28"/>
      <c r="BE16" s="28"/>
      <c r="BF16" s="28"/>
      <c r="BG16" s="28"/>
      <c r="BH16" s="28"/>
      <c r="BI16" s="28"/>
      <c r="BJ16" s="27"/>
      <c r="BK16" s="28"/>
      <c r="BL16" s="28"/>
      <c r="BM16" s="28"/>
      <c r="BN16" s="28"/>
      <c r="BO16" s="27"/>
      <c r="BP16" s="28"/>
      <c r="BQ16" s="28"/>
      <c r="BR16" s="28"/>
      <c r="BS16" s="28"/>
      <c r="BT16" s="28"/>
      <c r="BU16" s="28"/>
      <c r="BV16" s="28"/>
      <c r="BW16" s="28"/>
      <c r="BX16" s="28"/>
      <c r="BY16" s="28"/>
      <c r="BZ16" s="27"/>
      <c r="CA16" s="28"/>
      <c r="CB16" s="28"/>
      <c r="CC16" s="28"/>
      <c r="CD16" s="28"/>
      <c r="CE16" s="27"/>
      <c r="CF16" s="28"/>
      <c r="CG16" s="28"/>
      <c r="CH16" s="28"/>
      <c r="CI16" s="28"/>
      <c r="CJ16" s="28"/>
      <c r="CK16" s="28"/>
      <c r="CL16" s="28"/>
      <c r="CM16" s="28"/>
      <c r="CN16" s="28"/>
      <c r="CO16" s="28"/>
      <c r="CP16" s="27"/>
      <c r="CQ16" s="28"/>
      <c r="CR16" s="28"/>
      <c r="CS16" s="28"/>
      <c r="CT16" s="28"/>
      <c r="CU16" s="27"/>
      <c r="CV16" s="28"/>
      <c r="CW16" s="28"/>
      <c r="CX16" s="28"/>
      <c r="CY16" s="28"/>
      <c r="CZ16" s="28"/>
      <c r="DA16" s="28"/>
      <c r="DB16" s="28"/>
      <c r="DC16" s="28"/>
      <c r="DD16" s="28"/>
      <c r="DE16" s="28"/>
      <c r="DF16" s="27"/>
      <c r="DG16" s="28"/>
      <c r="DH16" s="28"/>
      <c r="DI16" s="28"/>
      <c r="DJ16" s="28"/>
      <c r="DK16" s="27"/>
      <c r="DL16" s="28"/>
      <c r="DM16" s="28"/>
      <c r="DN16" s="28"/>
      <c r="DO16" s="28"/>
      <c r="DP16" s="28"/>
      <c r="DQ16" s="28"/>
      <c r="DR16" s="28"/>
      <c r="DS16" s="28"/>
      <c r="DT16" s="28"/>
      <c r="DU16" s="28"/>
      <c r="DV16" s="27"/>
      <c r="DW16" s="28"/>
      <c r="DX16" s="28"/>
      <c r="DY16" s="28"/>
      <c r="DZ16" s="28"/>
      <c r="EA16" s="27"/>
      <c r="EB16" s="28"/>
      <c r="EC16" s="28"/>
      <c r="ED16" s="28"/>
      <c r="EE16" s="28"/>
      <c r="EF16" s="28"/>
      <c r="EG16" s="28"/>
      <c r="EH16" s="28"/>
      <c r="EI16" s="28"/>
      <c r="EJ16" s="28"/>
      <c r="EK16" s="28"/>
      <c r="EL16" s="27"/>
      <c r="EM16" s="28"/>
      <c r="EN16" s="28"/>
      <c r="EO16" s="28"/>
      <c r="EP16" s="28"/>
      <c r="EQ16" s="27"/>
      <c r="ER16" s="28"/>
      <c r="ES16" s="28"/>
      <c r="ET16" s="28"/>
      <c r="EU16" s="28"/>
      <c r="EV16" s="28"/>
      <c r="EW16" s="28"/>
      <c r="EX16" s="28"/>
      <c r="EY16" s="28"/>
      <c r="EZ16" s="28"/>
      <c r="FA16" s="28"/>
      <c r="FB16" s="27"/>
      <c r="FC16" s="28"/>
      <c r="FD16" s="28"/>
      <c r="FE16" s="28"/>
      <c r="FF16" s="28"/>
      <c r="FG16" s="27"/>
      <c r="FH16" s="28"/>
      <c r="FI16" s="28"/>
      <c r="FJ16" s="28"/>
      <c r="FK16" s="28"/>
      <c r="FL16" s="28"/>
      <c r="FM16" s="28"/>
      <c r="FN16" s="28"/>
      <c r="FO16" s="28"/>
      <c r="FP16" s="28"/>
      <c r="FQ16" s="28"/>
      <c r="FR16" s="27"/>
      <c r="FS16" s="28"/>
      <c r="FT16" s="28"/>
      <c r="FU16" s="28"/>
      <c r="FV16" s="28"/>
      <c r="FW16" s="27"/>
      <c r="FX16" s="28"/>
      <c r="FY16" s="28"/>
      <c r="FZ16" s="28"/>
      <c r="GA16" s="28"/>
      <c r="GB16" s="28"/>
      <c r="GC16" s="28"/>
      <c r="GD16" s="28"/>
      <c r="GE16" s="28"/>
      <c r="GF16" s="28"/>
      <c r="GG16" s="28"/>
      <c r="GH16" s="27"/>
      <c r="GI16" s="28"/>
      <c r="GJ16" s="28"/>
      <c r="GK16" s="28"/>
      <c r="GL16" s="28"/>
      <c r="GM16" s="27"/>
      <c r="GN16" s="28"/>
      <c r="GO16" s="28"/>
      <c r="GP16" s="28"/>
      <c r="GQ16" s="28"/>
      <c r="GR16" s="28"/>
      <c r="GS16" s="28"/>
      <c r="GT16" s="28"/>
      <c r="GU16" s="28"/>
      <c r="GV16" s="28"/>
      <c r="GW16" s="28"/>
      <c r="GX16" s="27"/>
      <c r="GY16" s="28"/>
      <c r="GZ16" s="28"/>
      <c r="HA16" s="28"/>
      <c r="HB16" s="28"/>
      <c r="HC16" s="27"/>
      <c r="HD16" s="28"/>
      <c r="HE16" s="28"/>
      <c r="HF16" s="28"/>
      <c r="HG16" s="28"/>
      <c r="HH16" s="28"/>
      <c r="HI16" s="28"/>
      <c r="HJ16" s="28"/>
      <c r="HK16" s="28"/>
      <c r="HL16" s="28"/>
      <c r="HM16" s="28"/>
      <c r="HN16" s="27"/>
      <c r="HO16" s="28"/>
      <c r="HP16" s="28"/>
      <c r="HQ16" s="28"/>
      <c r="HR16" s="28"/>
      <c r="HS16" s="27"/>
      <c r="HT16" s="28"/>
      <c r="HU16" s="28"/>
      <c r="HV16" s="28"/>
      <c r="HW16" s="28"/>
      <c r="HX16" s="28"/>
      <c r="HY16" s="28"/>
      <c r="HZ16" s="28"/>
      <c r="IA16" s="28"/>
      <c r="IB16" s="28"/>
      <c r="IC16" s="28"/>
      <c r="ID16" s="27"/>
      <c r="IE16" s="28"/>
      <c r="IF16" s="28"/>
      <c r="IG16" s="28"/>
      <c r="IH16" s="28"/>
      <c r="II16" s="27"/>
      <c r="IJ16" s="28"/>
      <c r="IK16" s="28"/>
      <c r="IL16" s="28"/>
      <c r="IM16" s="28"/>
      <c r="IN16" s="28"/>
      <c r="IO16" s="28"/>
      <c r="IP16" s="28"/>
      <c r="IQ16" s="28"/>
      <c r="IR16" s="28"/>
      <c r="IS16" s="28"/>
    </row>
    <row r="17" spans="1:253" ht="83.25" customHeight="1" thickTop="1" thickBot="1" x14ac:dyDescent="0.3">
      <c r="A17" s="4">
        <v>54</v>
      </c>
      <c r="B17" s="6" t="s">
        <v>25</v>
      </c>
      <c r="C17" s="6" t="s">
        <v>46</v>
      </c>
      <c r="D17" s="6" t="s">
        <v>446</v>
      </c>
      <c r="E17" s="6" t="s">
        <v>445</v>
      </c>
      <c r="F17" s="4">
        <v>1</v>
      </c>
      <c r="G17" s="6" t="s">
        <v>13</v>
      </c>
      <c r="H17" s="6" t="s">
        <v>1397</v>
      </c>
      <c r="I17" s="133" t="s">
        <v>660</v>
      </c>
      <c r="J17" s="6" t="s">
        <v>661</v>
      </c>
      <c r="K17" s="6" t="s">
        <v>719</v>
      </c>
      <c r="L17" s="91" t="s">
        <v>11</v>
      </c>
      <c r="M17" s="6" t="s">
        <v>100</v>
      </c>
    </row>
    <row r="18" spans="1:253" s="51" customFormat="1" ht="75.75" customHeight="1" thickTop="1" thickBot="1" x14ac:dyDescent="0.3">
      <c r="A18" s="43">
        <v>54</v>
      </c>
      <c r="B18" s="42" t="s">
        <v>25</v>
      </c>
      <c r="C18" s="42" t="s">
        <v>86</v>
      </c>
      <c r="D18" s="42" t="s">
        <v>449</v>
      </c>
      <c r="E18" s="42" t="s">
        <v>450</v>
      </c>
      <c r="F18" s="134">
        <v>4</v>
      </c>
      <c r="G18" s="42" t="s">
        <v>13</v>
      </c>
      <c r="H18" s="135" t="s">
        <v>787</v>
      </c>
      <c r="I18" s="205" t="s">
        <v>720</v>
      </c>
      <c r="J18" s="135" t="s">
        <v>1</v>
      </c>
      <c r="K18" s="135" t="s">
        <v>1</v>
      </c>
      <c r="L18" s="91" t="s">
        <v>11</v>
      </c>
      <c r="M18" s="42" t="s">
        <v>101</v>
      </c>
      <c r="N18" s="49"/>
      <c r="O18" s="50"/>
      <c r="P18" s="50"/>
      <c r="Q18" s="50"/>
      <c r="R18" s="50"/>
      <c r="S18" s="49"/>
      <c r="T18" s="50"/>
      <c r="U18" s="50"/>
      <c r="V18" s="50"/>
      <c r="W18" s="50"/>
      <c r="X18" s="50"/>
      <c r="Y18" s="50"/>
      <c r="Z18" s="50"/>
      <c r="AA18" s="50"/>
      <c r="AB18" s="50"/>
      <c r="AC18" s="50"/>
      <c r="AD18" s="49"/>
      <c r="AE18" s="50"/>
      <c r="AF18" s="50"/>
      <c r="AG18" s="50"/>
      <c r="AH18" s="50"/>
      <c r="AI18" s="49"/>
      <c r="AJ18" s="50"/>
      <c r="AK18" s="50"/>
      <c r="AL18" s="50"/>
      <c r="AM18" s="50"/>
      <c r="AN18" s="50"/>
      <c r="AO18" s="50"/>
      <c r="AP18" s="50"/>
      <c r="AQ18" s="50"/>
      <c r="AR18" s="50"/>
      <c r="AS18" s="50"/>
      <c r="AT18" s="49"/>
      <c r="AU18" s="50"/>
      <c r="AV18" s="50"/>
      <c r="AW18" s="50"/>
      <c r="AX18" s="50"/>
      <c r="AY18" s="49"/>
      <c r="AZ18" s="50"/>
      <c r="BA18" s="50"/>
      <c r="BB18" s="50"/>
      <c r="BC18" s="50"/>
      <c r="BD18" s="50"/>
      <c r="BE18" s="50"/>
      <c r="BF18" s="50"/>
      <c r="BG18" s="50"/>
      <c r="BH18" s="50"/>
      <c r="BI18" s="50"/>
      <c r="BJ18" s="49"/>
      <c r="BK18" s="50"/>
      <c r="BL18" s="50"/>
      <c r="BM18" s="50"/>
      <c r="BN18" s="50"/>
      <c r="BO18" s="49"/>
      <c r="BP18" s="50"/>
      <c r="BQ18" s="50"/>
      <c r="BR18" s="50"/>
      <c r="BS18" s="50"/>
      <c r="BT18" s="50"/>
      <c r="BU18" s="50"/>
      <c r="BV18" s="50"/>
      <c r="BW18" s="50"/>
      <c r="BX18" s="50"/>
      <c r="BY18" s="50"/>
      <c r="BZ18" s="49"/>
      <c r="CA18" s="50"/>
      <c r="CB18" s="50"/>
      <c r="CC18" s="50"/>
      <c r="CD18" s="50"/>
      <c r="CE18" s="49"/>
      <c r="CF18" s="50"/>
      <c r="CG18" s="50"/>
      <c r="CH18" s="50"/>
      <c r="CI18" s="50"/>
      <c r="CJ18" s="50"/>
      <c r="CK18" s="50"/>
      <c r="CL18" s="50"/>
      <c r="CM18" s="50"/>
      <c r="CN18" s="50"/>
      <c r="CO18" s="50"/>
      <c r="CP18" s="49"/>
      <c r="CQ18" s="50"/>
      <c r="CR18" s="50"/>
      <c r="CS18" s="50"/>
      <c r="CT18" s="50"/>
      <c r="CU18" s="49"/>
      <c r="CV18" s="50"/>
      <c r="CW18" s="50"/>
      <c r="CX18" s="50"/>
      <c r="CY18" s="50"/>
      <c r="CZ18" s="50"/>
      <c r="DA18" s="50"/>
      <c r="DB18" s="50"/>
      <c r="DC18" s="50"/>
      <c r="DD18" s="50"/>
      <c r="DE18" s="50"/>
      <c r="DF18" s="49"/>
      <c r="DG18" s="50"/>
      <c r="DH18" s="50"/>
      <c r="DI18" s="50"/>
      <c r="DJ18" s="50"/>
      <c r="DK18" s="49"/>
      <c r="DL18" s="50"/>
      <c r="DM18" s="50"/>
      <c r="DN18" s="50"/>
      <c r="DO18" s="50"/>
      <c r="DP18" s="50"/>
      <c r="DQ18" s="50"/>
      <c r="DR18" s="50"/>
      <c r="DS18" s="50"/>
      <c r="DT18" s="50"/>
      <c r="DU18" s="50"/>
      <c r="DV18" s="49"/>
      <c r="DW18" s="50"/>
      <c r="DX18" s="50"/>
      <c r="DY18" s="50"/>
      <c r="DZ18" s="50"/>
      <c r="EA18" s="49"/>
      <c r="EB18" s="50"/>
      <c r="EC18" s="50"/>
      <c r="ED18" s="50"/>
      <c r="EE18" s="50"/>
      <c r="EF18" s="50"/>
      <c r="EG18" s="50"/>
      <c r="EH18" s="50"/>
      <c r="EI18" s="50"/>
      <c r="EJ18" s="50"/>
      <c r="EK18" s="50"/>
      <c r="EL18" s="49"/>
      <c r="EM18" s="50"/>
      <c r="EN18" s="50"/>
      <c r="EO18" s="50"/>
      <c r="EP18" s="50"/>
      <c r="EQ18" s="49"/>
      <c r="ER18" s="50"/>
      <c r="ES18" s="50"/>
      <c r="ET18" s="50"/>
      <c r="EU18" s="50"/>
      <c r="EV18" s="50"/>
      <c r="EW18" s="50"/>
      <c r="EX18" s="50"/>
      <c r="EY18" s="50"/>
      <c r="EZ18" s="50"/>
      <c r="FA18" s="50"/>
      <c r="FB18" s="49"/>
      <c r="FC18" s="50"/>
      <c r="FD18" s="50"/>
      <c r="FE18" s="50"/>
      <c r="FF18" s="50"/>
      <c r="FG18" s="49"/>
      <c r="FH18" s="50"/>
      <c r="FI18" s="50"/>
      <c r="FJ18" s="50"/>
      <c r="FK18" s="50"/>
      <c r="FL18" s="50"/>
      <c r="FM18" s="50"/>
      <c r="FN18" s="50"/>
      <c r="FO18" s="50"/>
      <c r="FP18" s="50"/>
      <c r="FQ18" s="50"/>
      <c r="FR18" s="49"/>
      <c r="FS18" s="50"/>
      <c r="FT18" s="50"/>
      <c r="FU18" s="50"/>
      <c r="FV18" s="50"/>
      <c r="FW18" s="49"/>
      <c r="FX18" s="50"/>
      <c r="FY18" s="50"/>
      <c r="FZ18" s="50"/>
      <c r="GA18" s="50"/>
      <c r="GB18" s="50"/>
      <c r="GC18" s="50"/>
      <c r="GD18" s="50"/>
      <c r="GE18" s="50"/>
      <c r="GF18" s="50"/>
      <c r="GG18" s="50"/>
      <c r="GH18" s="49"/>
      <c r="GI18" s="50"/>
      <c r="GJ18" s="50"/>
      <c r="GK18" s="50"/>
      <c r="GL18" s="50"/>
      <c r="GM18" s="49"/>
      <c r="GN18" s="50"/>
      <c r="GO18" s="50"/>
      <c r="GP18" s="50"/>
      <c r="GQ18" s="50"/>
      <c r="GR18" s="50"/>
      <c r="GS18" s="50"/>
      <c r="GT18" s="50"/>
      <c r="GU18" s="50"/>
      <c r="GV18" s="50"/>
      <c r="GW18" s="50"/>
      <c r="GX18" s="49"/>
      <c r="GY18" s="50"/>
      <c r="GZ18" s="50"/>
      <c r="HA18" s="50"/>
      <c r="HB18" s="50"/>
      <c r="HC18" s="49"/>
      <c r="HD18" s="50"/>
      <c r="HE18" s="50"/>
      <c r="HF18" s="50"/>
      <c r="HG18" s="50"/>
      <c r="HH18" s="50"/>
      <c r="HI18" s="50"/>
      <c r="HJ18" s="50"/>
      <c r="HK18" s="50"/>
      <c r="HL18" s="50"/>
      <c r="HM18" s="50"/>
      <c r="HN18" s="49"/>
      <c r="HO18" s="50"/>
      <c r="HP18" s="50"/>
      <c r="HQ18" s="50"/>
      <c r="HR18" s="50"/>
      <c r="HS18" s="49"/>
      <c r="HT18" s="50"/>
      <c r="HU18" s="50"/>
      <c r="HV18" s="50"/>
      <c r="HW18" s="50"/>
      <c r="HX18" s="50"/>
      <c r="HY18" s="50"/>
      <c r="HZ18" s="50"/>
      <c r="IA18" s="50"/>
      <c r="IB18" s="50"/>
      <c r="IC18" s="50"/>
      <c r="ID18" s="49"/>
      <c r="IE18" s="50"/>
      <c r="IF18" s="50"/>
      <c r="IG18" s="50"/>
      <c r="IH18" s="50"/>
      <c r="II18" s="49"/>
      <c r="IJ18" s="50"/>
      <c r="IK18" s="50"/>
      <c r="IL18" s="50"/>
      <c r="IM18" s="50"/>
      <c r="IN18" s="50"/>
      <c r="IO18" s="50"/>
      <c r="IP18" s="50"/>
      <c r="IQ18" s="50"/>
      <c r="IR18" s="50"/>
      <c r="IS18" s="50"/>
    </row>
    <row r="19" spans="1:253" s="51" customFormat="1" ht="63" customHeight="1" thickTop="1" thickBot="1" x14ac:dyDescent="0.3">
      <c r="A19" s="43">
        <v>54</v>
      </c>
      <c r="B19" s="42" t="s">
        <v>25</v>
      </c>
      <c r="C19" s="42" t="s">
        <v>109</v>
      </c>
      <c r="D19" s="42" t="s">
        <v>453</v>
      </c>
      <c r="E19" s="42" t="s">
        <v>450</v>
      </c>
      <c r="F19" s="134">
        <v>4</v>
      </c>
      <c r="G19" s="135" t="s">
        <v>13</v>
      </c>
      <c r="H19" s="135" t="s">
        <v>788</v>
      </c>
      <c r="I19" s="206" t="s">
        <v>1398</v>
      </c>
      <c r="J19" s="135" t="s">
        <v>721</v>
      </c>
      <c r="K19" s="135" t="s">
        <v>722</v>
      </c>
      <c r="L19" s="135"/>
      <c r="M19" s="42" t="s">
        <v>102</v>
      </c>
      <c r="N19" s="49"/>
      <c r="O19" s="50"/>
      <c r="P19" s="50"/>
      <c r="Q19" s="50"/>
      <c r="R19" s="50"/>
      <c r="S19" s="49"/>
      <c r="T19" s="50"/>
      <c r="U19" s="50"/>
      <c r="V19" s="50"/>
      <c r="W19" s="50"/>
      <c r="X19" s="50"/>
      <c r="Y19" s="50"/>
      <c r="Z19" s="50"/>
      <c r="AA19" s="50"/>
      <c r="AB19" s="50"/>
      <c r="AC19" s="50"/>
      <c r="AD19" s="49"/>
      <c r="AE19" s="50"/>
      <c r="AF19" s="50"/>
      <c r="AG19" s="50"/>
      <c r="AH19" s="50"/>
      <c r="AI19" s="49"/>
      <c r="AJ19" s="50"/>
      <c r="AK19" s="50"/>
      <c r="AL19" s="50"/>
      <c r="AM19" s="50"/>
      <c r="AN19" s="50"/>
      <c r="AO19" s="50"/>
      <c r="AP19" s="50"/>
      <c r="AQ19" s="50"/>
      <c r="AR19" s="50"/>
      <c r="AS19" s="50"/>
      <c r="AT19" s="49"/>
      <c r="AU19" s="50"/>
      <c r="AV19" s="50"/>
      <c r="AW19" s="50"/>
      <c r="AX19" s="50"/>
      <c r="AY19" s="49"/>
      <c r="AZ19" s="50"/>
      <c r="BA19" s="50"/>
      <c r="BB19" s="50"/>
      <c r="BC19" s="50"/>
      <c r="BD19" s="50"/>
      <c r="BE19" s="50"/>
      <c r="BF19" s="50"/>
      <c r="BG19" s="50"/>
      <c r="BH19" s="50"/>
      <c r="BI19" s="50"/>
      <c r="BJ19" s="49"/>
      <c r="BK19" s="50"/>
      <c r="BL19" s="50"/>
      <c r="BM19" s="50"/>
      <c r="BN19" s="50"/>
      <c r="BO19" s="49"/>
      <c r="BP19" s="50"/>
      <c r="BQ19" s="50"/>
      <c r="BR19" s="50"/>
      <c r="BS19" s="50"/>
      <c r="BT19" s="50"/>
      <c r="BU19" s="50"/>
      <c r="BV19" s="50"/>
      <c r="BW19" s="50"/>
      <c r="BX19" s="50"/>
      <c r="BY19" s="50"/>
      <c r="BZ19" s="49"/>
      <c r="CA19" s="50"/>
      <c r="CB19" s="50"/>
      <c r="CC19" s="50"/>
      <c r="CD19" s="50"/>
      <c r="CE19" s="49"/>
      <c r="CF19" s="50"/>
      <c r="CG19" s="50"/>
      <c r="CH19" s="50"/>
      <c r="CI19" s="50"/>
      <c r="CJ19" s="50"/>
      <c r="CK19" s="50"/>
      <c r="CL19" s="50"/>
      <c r="CM19" s="50"/>
      <c r="CN19" s="50"/>
      <c r="CO19" s="50"/>
      <c r="CP19" s="49"/>
      <c r="CQ19" s="50"/>
      <c r="CR19" s="50"/>
      <c r="CS19" s="50"/>
      <c r="CT19" s="50"/>
      <c r="CU19" s="49"/>
      <c r="CV19" s="50"/>
      <c r="CW19" s="50"/>
      <c r="CX19" s="50"/>
      <c r="CY19" s="50"/>
      <c r="CZ19" s="50"/>
      <c r="DA19" s="50"/>
      <c r="DB19" s="50"/>
      <c r="DC19" s="50"/>
      <c r="DD19" s="50"/>
      <c r="DE19" s="50"/>
      <c r="DF19" s="49"/>
      <c r="DG19" s="50"/>
      <c r="DH19" s="50"/>
      <c r="DI19" s="50"/>
      <c r="DJ19" s="50"/>
      <c r="DK19" s="49"/>
      <c r="DL19" s="50"/>
      <c r="DM19" s="50"/>
      <c r="DN19" s="50"/>
      <c r="DO19" s="50"/>
      <c r="DP19" s="50"/>
      <c r="DQ19" s="50"/>
      <c r="DR19" s="50"/>
      <c r="DS19" s="50"/>
      <c r="DT19" s="50"/>
      <c r="DU19" s="50"/>
      <c r="DV19" s="49"/>
      <c r="DW19" s="50"/>
      <c r="DX19" s="50"/>
      <c r="DY19" s="50"/>
      <c r="DZ19" s="50"/>
      <c r="EA19" s="49"/>
      <c r="EB19" s="50"/>
      <c r="EC19" s="50"/>
      <c r="ED19" s="50"/>
      <c r="EE19" s="50"/>
      <c r="EF19" s="50"/>
      <c r="EG19" s="50"/>
      <c r="EH19" s="50"/>
      <c r="EI19" s="50"/>
      <c r="EJ19" s="50"/>
      <c r="EK19" s="50"/>
      <c r="EL19" s="49"/>
      <c r="EM19" s="50"/>
      <c r="EN19" s="50"/>
      <c r="EO19" s="50"/>
      <c r="EP19" s="50"/>
      <c r="EQ19" s="49"/>
      <c r="ER19" s="50"/>
      <c r="ES19" s="50"/>
      <c r="ET19" s="50"/>
      <c r="EU19" s="50"/>
      <c r="EV19" s="50"/>
      <c r="EW19" s="50"/>
      <c r="EX19" s="50"/>
      <c r="EY19" s="50"/>
      <c r="EZ19" s="50"/>
      <c r="FA19" s="50"/>
      <c r="FB19" s="49"/>
      <c r="FC19" s="50"/>
      <c r="FD19" s="50"/>
      <c r="FE19" s="50"/>
      <c r="FF19" s="50"/>
      <c r="FG19" s="49"/>
      <c r="FH19" s="50"/>
      <c r="FI19" s="50"/>
      <c r="FJ19" s="50"/>
      <c r="FK19" s="50"/>
      <c r="FL19" s="50"/>
      <c r="FM19" s="50"/>
      <c r="FN19" s="50"/>
      <c r="FO19" s="50"/>
      <c r="FP19" s="50"/>
      <c r="FQ19" s="50"/>
      <c r="FR19" s="49"/>
      <c r="FS19" s="50"/>
      <c r="FT19" s="50"/>
      <c r="FU19" s="50"/>
      <c r="FV19" s="50"/>
      <c r="FW19" s="49"/>
      <c r="FX19" s="50"/>
      <c r="FY19" s="50"/>
      <c r="FZ19" s="50"/>
      <c r="GA19" s="50"/>
      <c r="GB19" s="50"/>
      <c r="GC19" s="50"/>
      <c r="GD19" s="50"/>
      <c r="GE19" s="50"/>
      <c r="GF19" s="50"/>
      <c r="GG19" s="50"/>
      <c r="GH19" s="49"/>
      <c r="GI19" s="50"/>
      <c r="GJ19" s="50"/>
      <c r="GK19" s="50"/>
      <c r="GL19" s="50"/>
      <c r="GM19" s="49"/>
      <c r="GN19" s="50"/>
      <c r="GO19" s="50"/>
      <c r="GP19" s="50"/>
      <c r="GQ19" s="50"/>
      <c r="GR19" s="50"/>
      <c r="GS19" s="50"/>
      <c r="GT19" s="50"/>
      <c r="GU19" s="50"/>
      <c r="GV19" s="50"/>
      <c r="GW19" s="50"/>
      <c r="GX19" s="49"/>
      <c r="GY19" s="50"/>
      <c r="GZ19" s="50"/>
      <c r="HA19" s="50"/>
      <c r="HB19" s="50"/>
      <c r="HC19" s="49"/>
      <c r="HD19" s="50"/>
      <c r="HE19" s="50"/>
      <c r="HF19" s="50"/>
      <c r="HG19" s="50"/>
      <c r="HH19" s="50"/>
      <c r="HI19" s="50"/>
      <c r="HJ19" s="50"/>
      <c r="HK19" s="50"/>
      <c r="HL19" s="50"/>
      <c r="HM19" s="50"/>
      <c r="HN19" s="49"/>
      <c r="HO19" s="50"/>
      <c r="HP19" s="50"/>
      <c r="HQ19" s="50"/>
      <c r="HR19" s="50"/>
      <c r="HS19" s="49"/>
      <c r="HT19" s="50"/>
      <c r="HU19" s="50"/>
      <c r="HV19" s="50"/>
      <c r="HW19" s="50"/>
      <c r="HX19" s="50"/>
      <c r="HY19" s="50"/>
      <c r="HZ19" s="50"/>
      <c r="IA19" s="50"/>
      <c r="IB19" s="50"/>
      <c r="IC19" s="50"/>
      <c r="ID19" s="49"/>
      <c r="IE19" s="50"/>
      <c r="IF19" s="50"/>
      <c r="IG19" s="50"/>
      <c r="IH19" s="50"/>
      <c r="II19" s="49"/>
      <c r="IJ19" s="50"/>
      <c r="IK19" s="50"/>
      <c r="IL19" s="50"/>
      <c r="IM19" s="50"/>
      <c r="IN19" s="50"/>
      <c r="IO19" s="50"/>
      <c r="IP19" s="50"/>
      <c r="IQ19" s="50"/>
      <c r="IR19" s="50"/>
      <c r="IS19" s="50"/>
    </row>
    <row r="20" spans="1:253" s="51" customFormat="1" ht="63.75" customHeight="1" thickTop="1" thickBot="1" x14ac:dyDescent="0.3">
      <c r="A20" s="43">
        <v>54</v>
      </c>
      <c r="B20" s="42" t="s">
        <v>25</v>
      </c>
      <c r="C20" s="42" t="s">
        <v>17</v>
      </c>
      <c r="D20" s="42" t="s">
        <v>452</v>
      </c>
      <c r="E20" s="42" t="s">
        <v>450</v>
      </c>
      <c r="F20" s="134">
        <v>4</v>
      </c>
      <c r="G20" s="135" t="s">
        <v>13</v>
      </c>
      <c r="H20" s="135" t="s">
        <v>789</v>
      </c>
      <c r="I20" s="205" t="s">
        <v>723</v>
      </c>
      <c r="J20" s="135" t="s">
        <v>1</v>
      </c>
      <c r="K20" s="135" t="s">
        <v>1</v>
      </c>
      <c r="L20" s="135" t="s">
        <v>13</v>
      </c>
      <c r="M20" s="82" t="s">
        <v>66</v>
      </c>
      <c r="N20" s="49"/>
      <c r="O20" s="50"/>
      <c r="P20" s="50"/>
      <c r="Q20" s="50"/>
      <c r="R20" s="50"/>
      <c r="S20" s="49"/>
      <c r="T20" s="50"/>
      <c r="U20" s="50"/>
      <c r="V20" s="50"/>
      <c r="W20" s="50"/>
      <c r="X20" s="50"/>
      <c r="Y20" s="50"/>
      <c r="Z20" s="50"/>
      <c r="AA20" s="50"/>
      <c r="AB20" s="50"/>
      <c r="AC20" s="50"/>
      <c r="AD20" s="49"/>
      <c r="AE20" s="50"/>
      <c r="AF20" s="50"/>
      <c r="AG20" s="50"/>
      <c r="AH20" s="50"/>
      <c r="AI20" s="49"/>
      <c r="AJ20" s="50"/>
      <c r="AK20" s="50"/>
      <c r="AL20" s="50"/>
      <c r="AM20" s="50"/>
      <c r="AN20" s="50"/>
      <c r="AO20" s="50"/>
      <c r="AP20" s="50"/>
      <c r="AQ20" s="50"/>
      <c r="AR20" s="50"/>
      <c r="AS20" s="50"/>
      <c r="AT20" s="49"/>
      <c r="AU20" s="50"/>
      <c r="AV20" s="50"/>
      <c r="AW20" s="50"/>
      <c r="AX20" s="50"/>
      <c r="AY20" s="49"/>
      <c r="AZ20" s="50"/>
      <c r="BA20" s="50"/>
      <c r="BB20" s="50"/>
      <c r="BC20" s="50"/>
      <c r="BD20" s="50"/>
      <c r="BE20" s="50"/>
      <c r="BF20" s="50"/>
      <c r="BG20" s="50"/>
      <c r="BH20" s="50"/>
      <c r="BI20" s="50"/>
      <c r="BJ20" s="49"/>
      <c r="BK20" s="50"/>
      <c r="BL20" s="50"/>
      <c r="BM20" s="50"/>
      <c r="BN20" s="50"/>
      <c r="BO20" s="49"/>
      <c r="BP20" s="50"/>
      <c r="BQ20" s="50"/>
      <c r="BR20" s="50"/>
      <c r="BS20" s="50"/>
      <c r="BT20" s="50"/>
      <c r="BU20" s="50"/>
      <c r="BV20" s="50"/>
      <c r="BW20" s="50"/>
      <c r="BX20" s="50"/>
      <c r="BY20" s="50"/>
      <c r="BZ20" s="49"/>
      <c r="CA20" s="50"/>
      <c r="CB20" s="50"/>
      <c r="CC20" s="50"/>
      <c r="CD20" s="50"/>
      <c r="CE20" s="49"/>
      <c r="CF20" s="50"/>
      <c r="CG20" s="50"/>
      <c r="CH20" s="50"/>
      <c r="CI20" s="50"/>
      <c r="CJ20" s="50"/>
      <c r="CK20" s="50"/>
      <c r="CL20" s="50"/>
      <c r="CM20" s="50"/>
      <c r="CN20" s="50"/>
      <c r="CO20" s="50"/>
      <c r="CP20" s="49"/>
      <c r="CQ20" s="50"/>
      <c r="CR20" s="50"/>
      <c r="CS20" s="50"/>
      <c r="CT20" s="50"/>
      <c r="CU20" s="49"/>
      <c r="CV20" s="50"/>
      <c r="CW20" s="50"/>
      <c r="CX20" s="50"/>
      <c r="CY20" s="50"/>
      <c r="CZ20" s="50"/>
      <c r="DA20" s="50"/>
      <c r="DB20" s="50"/>
      <c r="DC20" s="50"/>
      <c r="DD20" s="50"/>
      <c r="DE20" s="50"/>
      <c r="DF20" s="49"/>
      <c r="DG20" s="50"/>
      <c r="DH20" s="50"/>
      <c r="DI20" s="50"/>
      <c r="DJ20" s="50"/>
      <c r="DK20" s="49"/>
      <c r="DL20" s="50"/>
      <c r="DM20" s="50"/>
      <c r="DN20" s="50"/>
      <c r="DO20" s="50"/>
      <c r="DP20" s="50"/>
      <c r="DQ20" s="50"/>
      <c r="DR20" s="50"/>
      <c r="DS20" s="50"/>
      <c r="DT20" s="50"/>
      <c r="DU20" s="50"/>
      <c r="DV20" s="49"/>
      <c r="DW20" s="50"/>
      <c r="DX20" s="50"/>
      <c r="DY20" s="50"/>
      <c r="DZ20" s="50"/>
      <c r="EA20" s="49"/>
      <c r="EB20" s="50"/>
      <c r="EC20" s="50"/>
      <c r="ED20" s="50"/>
      <c r="EE20" s="50"/>
      <c r="EF20" s="50"/>
      <c r="EG20" s="50"/>
      <c r="EH20" s="50"/>
      <c r="EI20" s="50"/>
      <c r="EJ20" s="50"/>
      <c r="EK20" s="50"/>
      <c r="EL20" s="49"/>
      <c r="EM20" s="50"/>
      <c r="EN20" s="50"/>
      <c r="EO20" s="50"/>
      <c r="EP20" s="50"/>
      <c r="EQ20" s="49"/>
      <c r="ER20" s="50"/>
      <c r="ES20" s="50"/>
      <c r="ET20" s="50"/>
      <c r="EU20" s="50"/>
      <c r="EV20" s="50"/>
      <c r="EW20" s="50"/>
      <c r="EX20" s="50"/>
      <c r="EY20" s="50"/>
      <c r="EZ20" s="50"/>
      <c r="FA20" s="50"/>
      <c r="FB20" s="49"/>
      <c r="FC20" s="50"/>
      <c r="FD20" s="50"/>
      <c r="FE20" s="50"/>
      <c r="FF20" s="50"/>
      <c r="FG20" s="49"/>
      <c r="FH20" s="50"/>
      <c r="FI20" s="50"/>
      <c r="FJ20" s="50"/>
      <c r="FK20" s="50"/>
      <c r="FL20" s="50"/>
      <c r="FM20" s="50"/>
      <c r="FN20" s="50"/>
      <c r="FO20" s="50"/>
      <c r="FP20" s="50"/>
      <c r="FQ20" s="50"/>
      <c r="FR20" s="49"/>
      <c r="FS20" s="50"/>
      <c r="FT20" s="50"/>
      <c r="FU20" s="50"/>
      <c r="FV20" s="50"/>
      <c r="FW20" s="49"/>
      <c r="FX20" s="50"/>
      <c r="FY20" s="50"/>
      <c r="FZ20" s="50"/>
      <c r="GA20" s="50"/>
      <c r="GB20" s="50"/>
      <c r="GC20" s="50"/>
      <c r="GD20" s="50"/>
      <c r="GE20" s="50"/>
      <c r="GF20" s="50"/>
      <c r="GG20" s="50"/>
      <c r="GH20" s="49"/>
      <c r="GI20" s="50"/>
      <c r="GJ20" s="50"/>
      <c r="GK20" s="50"/>
      <c r="GL20" s="50"/>
      <c r="GM20" s="49"/>
      <c r="GN20" s="50"/>
      <c r="GO20" s="50"/>
      <c r="GP20" s="50"/>
      <c r="GQ20" s="50"/>
      <c r="GR20" s="50"/>
      <c r="GS20" s="50"/>
      <c r="GT20" s="50"/>
      <c r="GU20" s="50"/>
      <c r="GV20" s="50"/>
      <c r="GW20" s="50"/>
      <c r="GX20" s="49"/>
      <c r="GY20" s="50"/>
      <c r="GZ20" s="50"/>
      <c r="HA20" s="50"/>
      <c r="HB20" s="50"/>
      <c r="HC20" s="49"/>
      <c r="HD20" s="50"/>
      <c r="HE20" s="50"/>
      <c r="HF20" s="50"/>
      <c r="HG20" s="50"/>
      <c r="HH20" s="50"/>
      <c r="HI20" s="50"/>
      <c r="HJ20" s="50"/>
      <c r="HK20" s="50"/>
      <c r="HL20" s="50"/>
      <c r="HM20" s="50"/>
      <c r="HN20" s="49"/>
      <c r="HO20" s="50"/>
      <c r="HP20" s="50"/>
      <c r="HQ20" s="50"/>
      <c r="HR20" s="50"/>
      <c r="HS20" s="49"/>
      <c r="HT20" s="50"/>
      <c r="HU20" s="50"/>
      <c r="HV20" s="50"/>
      <c r="HW20" s="50"/>
      <c r="HX20" s="50"/>
      <c r="HY20" s="50"/>
      <c r="HZ20" s="50"/>
      <c r="IA20" s="50"/>
      <c r="IB20" s="50"/>
      <c r="IC20" s="50"/>
      <c r="ID20" s="49"/>
      <c r="IE20" s="50"/>
      <c r="IF20" s="50"/>
      <c r="IG20" s="50"/>
      <c r="IH20" s="50"/>
      <c r="II20" s="49"/>
      <c r="IJ20" s="50"/>
      <c r="IK20" s="50"/>
      <c r="IL20" s="50"/>
      <c r="IM20" s="50"/>
      <c r="IN20" s="50"/>
      <c r="IO20" s="50"/>
      <c r="IP20" s="50"/>
      <c r="IQ20" s="50"/>
      <c r="IR20" s="50"/>
      <c r="IS20" s="50"/>
    </row>
    <row r="21" spans="1:253" s="51" customFormat="1" ht="63" customHeight="1" thickTop="1" thickBot="1" x14ac:dyDescent="0.3">
      <c r="A21" s="43"/>
      <c r="B21" s="42" t="s">
        <v>25</v>
      </c>
      <c r="C21" s="42" t="s">
        <v>17</v>
      </c>
      <c r="D21" s="42" t="s">
        <v>451</v>
      </c>
      <c r="E21" s="42" t="s">
        <v>450</v>
      </c>
      <c r="F21" s="134">
        <v>4</v>
      </c>
      <c r="G21" s="135" t="s">
        <v>13</v>
      </c>
      <c r="H21" s="135" t="s">
        <v>790</v>
      </c>
      <c r="I21" s="205" t="s">
        <v>723</v>
      </c>
      <c r="J21" s="135" t="s">
        <v>1</v>
      </c>
      <c r="K21" s="135" t="s">
        <v>1</v>
      </c>
      <c r="L21" s="135" t="s">
        <v>13</v>
      </c>
      <c r="M21" s="42" t="s">
        <v>66</v>
      </c>
      <c r="N21" s="49"/>
      <c r="O21" s="50"/>
      <c r="P21" s="50"/>
      <c r="Q21" s="50"/>
      <c r="R21" s="50"/>
      <c r="S21" s="49"/>
      <c r="T21" s="50"/>
      <c r="U21" s="50"/>
      <c r="V21" s="50"/>
      <c r="W21" s="50"/>
      <c r="X21" s="50"/>
      <c r="Y21" s="50"/>
      <c r="Z21" s="50"/>
      <c r="AA21" s="50"/>
      <c r="AB21" s="50"/>
      <c r="AC21" s="50"/>
      <c r="AD21" s="49"/>
      <c r="AE21" s="50"/>
      <c r="AF21" s="50"/>
      <c r="AG21" s="50"/>
      <c r="AH21" s="50"/>
      <c r="AI21" s="49"/>
      <c r="AJ21" s="50"/>
      <c r="AK21" s="50"/>
      <c r="AL21" s="50"/>
      <c r="AM21" s="50"/>
      <c r="AN21" s="50"/>
      <c r="AO21" s="50"/>
      <c r="AP21" s="50"/>
      <c r="AQ21" s="50"/>
      <c r="AR21" s="50"/>
      <c r="AS21" s="50"/>
      <c r="AT21" s="49"/>
      <c r="AU21" s="50"/>
      <c r="AV21" s="50"/>
      <c r="AW21" s="50"/>
      <c r="AX21" s="50"/>
      <c r="AY21" s="49"/>
      <c r="AZ21" s="50"/>
      <c r="BA21" s="50"/>
      <c r="BB21" s="50"/>
      <c r="BC21" s="50"/>
      <c r="BD21" s="50"/>
      <c r="BE21" s="50"/>
      <c r="BF21" s="50"/>
      <c r="BG21" s="50"/>
      <c r="BH21" s="50"/>
      <c r="BI21" s="50"/>
      <c r="BJ21" s="49"/>
      <c r="BK21" s="50"/>
      <c r="BL21" s="50"/>
      <c r="BM21" s="50"/>
      <c r="BN21" s="50"/>
      <c r="BO21" s="49"/>
      <c r="BP21" s="50"/>
      <c r="BQ21" s="50"/>
      <c r="BR21" s="50"/>
      <c r="BS21" s="50"/>
      <c r="BT21" s="50"/>
      <c r="BU21" s="50"/>
      <c r="BV21" s="50"/>
      <c r="BW21" s="50"/>
      <c r="BX21" s="50"/>
      <c r="BY21" s="50"/>
      <c r="BZ21" s="49"/>
      <c r="CA21" s="50"/>
      <c r="CB21" s="50"/>
      <c r="CC21" s="50"/>
      <c r="CD21" s="50"/>
      <c r="CE21" s="49"/>
      <c r="CF21" s="50"/>
      <c r="CG21" s="50"/>
      <c r="CH21" s="50"/>
      <c r="CI21" s="50"/>
      <c r="CJ21" s="50"/>
      <c r="CK21" s="50"/>
      <c r="CL21" s="50"/>
      <c r="CM21" s="50"/>
      <c r="CN21" s="50"/>
      <c r="CO21" s="50"/>
      <c r="CP21" s="49"/>
      <c r="CQ21" s="50"/>
      <c r="CR21" s="50"/>
      <c r="CS21" s="50"/>
      <c r="CT21" s="50"/>
      <c r="CU21" s="49"/>
      <c r="CV21" s="50"/>
      <c r="CW21" s="50"/>
      <c r="CX21" s="50"/>
      <c r="CY21" s="50"/>
      <c r="CZ21" s="50"/>
      <c r="DA21" s="50"/>
      <c r="DB21" s="50"/>
      <c r="DC21" s="50"/>
      <c r="DD21" s="50"/>
      <c r="DE21" s="50"/>
      <c r="DF21" s="49"/>
      <c r="DG21" s="50"/>
      <c r="DH21" s="50"/>
      <c r="DI21" s="50"/>
      <c r="DJ21" s="50"/>
      <c r="DK21" s="49"/>
      <c r="DL21" s="50"/>
      <c r="DM21" s="50"/>
      <c r="DN21" s="50"/>
      <c r="DO21" s="50"/>
      <c r="DP21" s="50"/>
      <c r="DQ21" s="50"/>
      <c r="DR21" s="50"/>
      <c r="DS21" s="50"/>
      <c r="DT21" s="50"/>
      <c r="DU21" s="50"/>
      <c r="DV21" s="49"/>
      <c r="DW21" s="50"/>
      <c r="DX21" s="50"/>
      <c r="DY21" s="50"/>
      <c r="DZ21" s="50"/>
      <c r="EA21" s="49"/>
      <c r="EB21" s="50"/>
      <c r="EC21" s="50"/>
      <c r="ED21" s="50"/>
      <c r="EE21" s="50"/>
      <c r="EF21" s="50"/>
      <c r="EG21" s="50"/>
      <c r="EH21" s="50"/>
      <c r="EI21" s="50"/>
      <c r="EJ21" s="50"/>
      <c r="EK21" s="50"/>
      <c r="EL21" s="49"/>
      <c r="EM21" s="50"/>
      <c r="EN21" s="50"/>
      <c r="EO21" s="50"/>
      <c r="EP21" s="50"/>
      <c r="EQ21" s="49"/>
      <c r="ER21" s="50"/>
      <c r="ES21" s="50"/>
      <c r="ET21" s="50"/>
      <c r="EU21" s="50"/>
      <c r="EV21" s="50"/>
      <c r="EW21" s="50"/>
      <c r="EX21" s="50"/>
      <c r="EY21" s="50"/>
      <c r="EZ21" s="50"/>
      <c r="FA21" s="50"/>
      <c r="FB21" s="49"/>
      <c r="FC21" s="50"/>
      <c r="FD21" s="50"/>
      <c r="FE21" s="50"/>
      <c r="FF21" s="50"/>
      <c r="FG21" s="49"/>
      <c r="FH21" s="50"/>
      <c r="FI21" s="50"/>
      <c r="FJ21" s="50"/>
      <c r="FK21" s="50"/>
      <c r="FL21" s="50"/>
      <c r="FM21" s="50"/>
      <c r="FN21" s="50"/>
      <c r="FO21" s="50"/>
      <c r="FP21" s="50"/>
      <c r="FQ21" s="50"/>
      <c r="FR21" s="49"/>
      <c r="FS21" s="50"/>
      <c r="FT21" s="50"/>
      <c r="FU21" s="50"/>
      <c r="FV21" s="50"/>
      <c r="FW21" s="49"/>
      <c r="FX21" s="50"/>
      <c r="FY21" s="50"/>
      <c r="FZ21" s="50"/>
      <c r="GA21" s="50"/>
      <c r="GB21" s="50"/>
      <c r="GC21" s="50"/>
      <c r="GD21" s="50"/>
      <c r="GE21" s="50"/>
      <c r="GF21" s="50"/>
      <c r="GG21" s="50"/>
      <c r="GH21" s="49"/>
      <c r="GI21" s="50"/>
      <c r="GJ21" s="50"/>
      <c r="GK21" s="50"/>
      <c r="GL21" s="50"/>
      <c r="GM21" s="49"/>
      <c r="GN21" s="50"/>
      <c r="GO21" s="50"/>
      <c r="GP21" s="50"/>
      <c r="GQ21" s="50"/>
      <c r="GR21" s="50"/>
      <c r="GS21" s="50"/>
      <c r="GT21" s="50"/>
      <c r="GU21" s="50"/>
      <c r="GV21" s="50"/>
      <c r="GW21" s="50"/>
      <c r="GX21" s="49"/>
      <c r="GY21" s="50"/>
      <c r="GZ21" s="50"/>
      <c r="HA21" s="50"/>
      <c r="HB21" s="50"/>
      <c r="HC21" s="49"/>
      <c r="HD21" s="50"/>
      <c r="HE21" s="50"/>
      <c r="HF21" s="50"/>
      <c r="HG21" s="50"/>
      <c r="HH21" s="50"/>
      <c r="HI21" s="50"/>
      <c r="HJ21" s="50"/>
      <c r="HK21" s="50"/>
      <c r="HL21" s="50"/>
      <c r="HM21" s="50"/>
      <c r="HN21" s="49"/>
      <c r="HO21" s="50"/>
      <c r="HP21" s="50"/>
      <c r="HQ21" s="50"/>
      <c r="HR21" s="50"/>
      <c r="HS21" s="49"/>
      <c r="HT21" s="50"/>
      <c r="HU21" s="50"/>
      <c r="HV21" s="50"/>
      <c r="HW21" s="50"/>
      <c r="HX21" s="50"/>
      <c r="HY21" s="50"/>
      <c r="HZ21" s="50"/>
      <c r="IA21" s="50"/>
      <c r="IB21" s="50"/>
      <c r="IC21" s="50"/>
      <c r="ID21" s="49"/>
      <c r="IE21" s="50"/>
      <c r="IF21" s="50"/>
      <c r="IG21" s="50"/>
      <c r="IH21" s="50"/>
      <c r="II21" s="49"/>
      <c r="IJ21" s="50"/>
      <c r="IK21" s="50"/>
      <c r="IL21" s="50"/>
      <c r="IM21" s="50"/>
      <c r="IN21" s="50"/>
      <c r="IO21" s="50"/>
      <c r="IP21" s="50"/>
      <c r="IQ21" s="50"/>
      <c r="IR21" s="50"/>
      <c r="IS21" s="50"/>
    </row>
    <row r="22" spans="1:253" s="48" customFormat="1" ht="75" customHeight="1" thickTop="1" thickBot="1" x14ac:dyDescent="0.3">
      <c r="A22" s="43">
        <v>54</v>
      </c>
      <c r="B22" s="42" t="s">
        <v>25</v>
      </c>
      <c r="C22" s="42" t="s">
        <v>86</v>
      </c>
      <c r="D22" s="75" t="s">
        <v>455</v>
      </c>
      <c r="E22" s="42" t="s">
        <v>454</v>
      </c>
      <c r="F22" s="43">
        <v>4</v>
      </c>
      <c r="G22" s="6" t="s">
        <v>13</v>
      </c>
      <c r="H22" s="43" t="s">
        <v>791</v>
      </c>
      <c r="I22" s="204" t="s">
        <v>1399</v>
      </c>
      <c r="J22" s="135" t="s">
        <v>1</v>
      </c>
      <c r="K22" s="135" t="s">
        <v>1</v>
      </c>
      <c r="L22" s="135" t="s">
        <v>13</v>
      </c>
      <c r="M22" s="42" t="s">
        <v>86</v>
      </c>
    </row>
    <row r="23" spans="1:253" s="53" customFormat="1" ht="57.75" thickTop="1" thickBot="1" x14ac:dyDescent="0.3">
      <c r="A23" s="44">
        <v>54</v>
      </c>
      <c r="B23" s="45" t="s">
        <v>25</v>
      </c>
      <c r="C23" s="45" t="s">
        <v>86</v>
      </c>
      <c r="D23" s="89" t="s">
        <v>456</v>
      </c>
      <c r="E23" s="45" t="s">
        <v>457</v>
      </c>
      <c r="F23" s="90">
        <v>0.5</v>
      </c>
      <c r="G23" s="91" t="s">
        <v>13</v>
      </c>
      <c r="H23" s="90">
        <v>0.5</v>
      </c>
      <c r="I23" s="208" t="s">
        <v>809</v>
      </c>
      <c r="J23" s="90" t="s">
        <v>811</v>
      </c>
      <c r="K23" s="90" t="s">
        <v>812</v>
      </c>
      <c r="L23" s="135" t="s">
        <v>13</v>
      </c>
      <c r="M23" s="45" t="s">
        <v>6</v>
      </c>
    </row>
    <row r="24" spans="1:253" s="93" customFormat="1" ht="107.25" customHeight="1" thickTop="1" thickBot="1" x14ac:dyDescent="0.3">
      <c r="A24" s="44">
        <v>54</v>
      </c>
      <c r="B24" s="44" t="s">
        <v>25</v>
      </c>
      <c r="C24" s="44" t="s">
        <v>110</v>
      </c>
      <c r="D24" s="89" t="s">
        <v>518</v>
      </c>
      <c r="E24" s="45" t="s">
        <v>159</v>
      </c>
      <c r="F24" s="90">
        <v>0.12</v>
      </c>
      <c r="G24" s="91" t="s">
        <v>13</v>
      </c>
      <c r="H24" s="90">
        <v>1</v>
      </c>
      <c r="I24" s="208" t="s">
        <v>814</v>
      </c>
      <c r="J24" s="90" t="s">
        <v>813</v>
      </c>
      <c r="K24" s="90" t="s">
        <v>810</v>
      </c>
      <c r="L24" s="135" t="s">
        <v>13</v>
      </c>
      <c r="M24" s="45" t="s">
        <v>112</v>
      </c>
    </row>
    <row r="25" spans="1:253" s="48" customFormat="1" ht="106.5" customHeight="1" thickTop="1" thickBot="1" x14ac:dyDescent="0.3">
      <c r="A25" s="43">
        <v>54</v>
      </c>
      <c r="B25" s="43" t="s">
        <v>25</v>
      </c>
      <c r="C25" s="43" t="s">
        <v>110</v>
      </c>
      <c r="D25" s="75" t="s">
        <v>458</v>
      </c>
      <c r="E25" s="42" t="s">
        <v>1400</v>
      </c>
      <c r="F25" s="136">
        <v>0.78</v>
      </c>
      <c r="G25" s="6" t="s">
        <v>13</v>
      </c>
      <c r="H25" s="76" t="s">
        <v>1</v>
      </c>
      <c r="I25" s="136" t="s">
        <v>1</v>
      </c>
      <c r="J25" s="76" t="s">
        <v>1</v>
      </c>
      <c r="K25" s="76" t="s">
        <v>1</v>
      </c>
      <c r="L25" s="135" t="s">
        <v>13</v>
      </c>
      <c r="M25" s="42" t="s">
        <v>112</v>
      </c>
    </row>
    <row r="26" spans="1:253" s="53" customFormat="1" ht="83.25" customHeight="1" thickTop="1" thickBot="1" x14ac:dyDescent="0.3">
      <c r="A26" s="44">
        <v>54</v>
      </c>
      <c r="B26" s="45" t="s">
        <v>25</v>
      </c>
      <c r="C26" s="44" t="s">
        <v>111</v>
      </c>
      <c r="D26" s="89" t="s">
        <v>459</v>
      </c>
      <c r="E26" s="45" t="s">
        <v>160</v>
      </c>
      <c r="F26" s="90">
        <v>1</v>
      </c>
      <c r="G26" s="91" t="s">
        <v>13</v>
      </c>
      <c r="H26" s="90">
        <v>0.5</v>
      </c>
      <c r="I26" s="207" t="s">
        <v>815</v>
      </c>
      <c r="J26" s="90" t="s">
        <v>816</v>
      </c>
      <c r="K26" s="90" t="s">
        <v>817</v>
      </c>
      <c r="L26" s="135" t="s">
        <v>13</v>
      </c>
      <c r="M26" s="45" t="s">
        <v>102</v>
      </c>
    </row>
    <row r="27" spans="1:253" ht="15.75" thickTop="1" x14ac:dyDescent="0.25">
      <c r="D27" s="23"/>
    </row>
    <row r="28" spans="1:253" x14ac:dyDescent="0.25">
      <c r="D28" s="23"/>
    </row>
    <row r="29" spans="1:253" x14ac:dyDescent="0.25">
      <c r="D29" s="23"/>
    </row>
    <row r="30" spans="1:253" x14ac:dyDescent="0.25">
      <c r="D30" s="23"/>
    </row>
    <row r="31" spans="1:253" x14ac:dyDescent="0.25">
      <c r="D31" s="23"/>
    </row>
    <row r="32" spans="1:253" x14ac:dyDescent="0.25">
      <c r="D32" s="23"/>
    </row>
    <row r="33" spans="4:4" x14ac:dyDescent="0.25">
      <c r="D33" s="23"/>
    </row>
    <row r="34" spans="4:4" x14ac:dyDescent="0.25">
      <c r="D34" s="23"/>
    </row>
    <row r="35" spans="4:4" x14ac:dyDescent="0.25">
      <c r="D35" s="23"/>
    </row>
    <row r="36" spans="4:4" x14ac:dyDescent="0.25">
      <c r="D36" s="23"/>
    </row>
    <row r="37" spans="4:4" x14ac:dyDescent="0.25">
      <c r="D37" s="23"/>
    </row>
    <row r="38" spans="4:4" x14ac:dyDescent="0.25">
      <c r="D38" s="23"/>
    </row>
  </sheetData>
  <mergeCells count="3">
    <mergeCell ref="A1:M1"/>
    <mergeCell ref="A2:M2"/>
    <mergeCell ref="A3:M3"/>
  </mergeCells>
  <pageMargins left="0.70866141732283505" right="0.70866141732283505" top="0.74803149606299202" bottom="0.74803149606299202" header="0.31496062992126" footer="0.31496062992126"/>
  <pageSetup paperSize="9" scale="85" fitToHeight="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6"/>
  <sheetViews>
    <sheetView view="pageBreakPreview" topLeftCell="B1" zoomScale="90" zoomScaleNormal="100" zoomScaleSheetLayoutView="90" workbookViewId="0">
      <pane xSplit="9" ySplit="3" topLeftCell="K24" activePane="bottomRight" state="frozen"/>
      <selection activeCell="D17" sqref="D17"/>
      <selection pane="topRight" activeCell="D17" sqref="D17"/>
      <selection pane="bottomLeft" activeCell="D17" sqref="D17"/>
      <selection pane="bottomRight" activeCell="D17" sqref="D17"/>
    </sheetView>
  </sheetViews>
  <sheetFormatPr defaultRowHeight="15" x14ac:dyDescent="0.25"/>
  <cols>
    <col min="1" max="1" width="5.5703125" style="9" customWidth="1"/>
    <col min="2" max="2" width="14.28515625" customWidth="1"/>
    <col min="3" max="3" width="12.42578125" style="25" customWidth="1"/>
    <col min="4" max="4" width="15" customWidth="1"/>
    <col min="5" max="5" width="16.28515625" customWidth="1"/>
    <col min="6" max="6" width="13.28515625" style="85" customWidth="1"/>
    <col min="7" max="7" width="10.85546875" customWidth="1"/>
    <col min="8" max="8" width="13.140625" customWidth="1"/>
    <col min="9" max="9" width="15.140625" style="23" customWidth="1"/>
    <col min="10" max="12" width="15.140625" style="41" customWidth="1"/>
    <col min="13" max="13" width="18.5703125" style="23" customWidth="1"/>
    <col min="14" max="14" width="13.42578125" customWidth="1"/>
  </cols>
  <sheetData>
    <row r="1" spans="1:15" ht="29.25" customHeight="1" thickTop="1" thickBot="1" x14ac:dyDescent="0.3">
      <c r="A1" s="544" t="s">
        <v>52</v>
      </c>
      <c r="B1" s="545"/>
      <c r="C1" s="545"/>
      <c r="D1" s="545"/>
      <c r="E1" s="545"/>
      <c r="F1" s="545"/>
      <c r="G1" s="545"/>
      <c r="H1" s="545"/>
      <c r="I1" s="545"/>
      <c r="J1" s="545"/>
      <c r="K1" s="545"/>
      <c r="L1" s="545"/>
      <c r="M1" s="545"/>
      <c r="N1" s="546"/>
    </row>
    <row r="2" spans="1:15" ht="26.25" customHeight="1" thickTop="1" thickBot="1" x14ac:dyDescent="0.3">
      <c r="A2" s="552" t="s">
        <v>33</v>
      </c>
      <c r="B2" s="553"/>
      <c r="C2" s="553"/>
      <c r="D2" s="553"/>
      <c r="E2" s="553"/>
      <c r="F2" s="553"/>
      <c r="G2" s="553"/>
      <c r="H2" s="553"/>
      <c r="I2" s="553"/>
      <c r="J2" s="553"/>
      <c r="K2" s="553"/>
      <c r="L2" s="553"/>
      <c r="M2" s="553"/>
      <c r="N2" s="554"/>
    </row>
    <row r="3" spans="1:15" s="12" customFormat="1" ht="54.75" customHeight="1" thickTop="1" thickBot="1" x14ac:dyDescent="0.3">
      <c r="A3" s="549" t="s">
        <v>2</v>
      </c>
      <c r="B3" s="549" t="s">
        <v>0</v>
      </c>
      <c r="C3" s="549" t="s">
        <v>48</v>
      </c>
      <c r="D3" s="549" t="s">
        <v>37</v>
      </c>
      <c r="E3" s="549" t="s">
        <v>3</v>
      </c>
      <c r="F3" s="550" t="s">
        <v>116</v>
      </c>
      <c r="G3" s="551" t="s">
        <v>4</v>
      </c>
      <c r="H3" s="551" t="s">
        <v>5</v>
      </c>
      <c r="I3" s="542" t="s">
        <v>711</v>
      </c>
      <c r="J3" s="551" t="s">
        <v>739</v>
      </c>
      <c r="K3" s="210" t="s">
        <v>633</v>
      </c>
      <c r="L3" s="210" t="s">
        <v>634</v>
      </c>
      <c r="M3" s="180" t="s">
        <v>635</v>
      </c>
      <c r="N3" s="547" t="s">
        <v>35</v>
      </c>
    </row>
    <row r="4" spans="1:15" s="12" customFormat="1" ht="14.25" customHeight="1" thickTop="1" thickBot="1" x14ac:dyDescent="0.3">
      <c r="A4" s="549"/>
      <c r="B4" s="549"/>
      <c r="C4" s="549"/>
      <c r="D4" s="549"/>
      <c r="E4" s="549"/>
      <c r="F4" s="550"/>
      <c r="G4" s="551"/>
      <c r="H4" s="551"/>
      <c r="I4" s="543"/>
      <c r="J4" s="551"/>
      <c r="K4" s="211"/>
      <c r="L4" s="211"/>
      <c r="M4" s="181"/>
      <c r="N4" s="548"/>
    </row>
    <row r="5" spans="1:15" s="97" customFormat="1" ht="67.5" customHeight="1" thickTop="1" thickBot="1" x14ac:dyDescent="0.3">
      <c r="A5" s="155">
        <v>46</v>
      </c>
      <c r="B5" s="156" t="s">
        <v>25</v>
      </c>
      <c r="C5" s="155" t="s">
        <v>74</v>
      </c>
      <c r="D5" s="156" t="s">
        <v>164</v>
      </c>
      <c r="E5" s="157" t="s">
        <v>123</v>
      </c>
      <c r="F5" s="155">
        <v>9000</v>
      </c>
      <c r="G5" s="157" t="s">
        <v>149</v>
      </c>
      <c r="H5" s="157" t="s">
        <v>148</v>
      </c>
      <c r="I5" s="155">
        <v>2</v>
      </c>
      <c r="J5" s="179" t="s">
        <v>725</v>
      </c>
      <c r="K5" s="157" t="s">
        <v>1</v>
      </c>
      <c r="L5" s="157" t="s">
        <v>1</v>
      </c>
      <c r="M5" s="201">
        <v>7895</v>
      </c>
      <c r="N5" s="155" t="s">
        <v>6</v>
      </c>
      <c r="O5" s="53"/>
    </row>
    <row r="6" spans="1:15" s="94" customFormat="1" ht="81.75" customHeight="1" thickTop="1" thickBot="1" x14ac:dyDescent="0.3">
      <c r="A6" s="155">
        <v>46</v>
      </c>
      <c r="B6" s="158" t="s">
        <v>25</v>
      </c>
      <c r="C6" s="155" t="s">
        <v>75</v>
      </c>
      <c r="D6" s="157" t="s">
        <v>163</v>
      </c>
      <c r="E6" s="157" t="s">
        <v>124</v>
      </c>
      <c r="F6" s="159">
        <v>40000</v>
      </c>
      <c r="G6" s="157" t="s">
        <v>149</v>
      </c>
      <c r="H6" s="157" t="s">
        <v>148</v>
      </c>
      <c r="I6" s="157" t="s">
        <v>792</v>
      </c>
      <c r="J6" s="157" t="s">
        <v>726</v>
      </c>
      <c r="K6" s="212" t="s">
        <v>1</v>
      </c>
      <c r="L6" s="212" t="s">
        <v>1</v>
      </c>
      <c r="M6" s="201">
        <v>1200</v>
      </c>
      <c r="N6" s="155" t="s">
        <v>17</v>
      </c>
      <c r="O6" s="13"/>
    </row>
    <row r="7" spans="1:15" s="94" customFormat="1" ht="92.25" customHeight="1" thickTop="1" thickBot="1" x14ac:dyDescent="0.3">
      <c r="A7" s="155">
        <v>46</v>
      </c>
      <c r="B7" s="158" t="s">
        <v>25</v>
      </c>
      <c r="C7" s="155" t="s">
        <v>75</v>
      </c>
      <c r="D7" s="157" t="s">
        <v>489</v>
      </c>
      <c r="E7" s="157" t="s">
        <v>125</v>
      </c>
      <c r="F7" s="159">
        <v>12000</v>
      </c>
      <c r="G7" s="157" t="s">
        <v>149</v>
      </c>
      <c r="H7" s="157" t="s">
        <v>171</v>
      </c>
      <c r="I7" s="157" t="s">
        <v>488</v>
      </c>
      <c r="J7" s="157" t="s">
        <v>727</v>
      </c>
      <c r="K7" s="157" t="s">
        <v>733</v>
      </c>
      <c r="L7" s="214" t="s">
        <v>818</v>
      </c>
      <c r="M7" s="201">
        <v>0</v>
      </c>
      <c r="N7" s="155" t="s">
        <v>161</v>
      </c>
      <c r="O7" s="13"/>
    </row>
    <row r="8" spans="1:15" s="94" customFormat="1" ht="78" customHeight="1" thickTop="1" thickBot="1" x14ac:dyDescent="0.3">
      <c r="A8" s="155">
        <v>46</v>
      </c>
      <c r="B8" s="158" t="s">
        <v>25</v>
      </c>
      <c r="C8" s="155" t="s">
        <v>88</v>
      </c>
      <c r="D8" s="157" t="s">
        <v>491</v>
      </c>
      <c r="E8" s="157" t="s">
        <v>351</v>
      </c>
      <c r="F8" s="155">
        <v>2000</v>
      </c>
      <c r="G8" s="157" t="s">
        <v>149</v>
      </c>
      <c r="H8" s="157" t="s">
        <v>171</v>
      </c>
      <c r="I8" s="157" t="s">
        <v>490</v>
      </c>
      <c r="J8" s="157" t="s">
        <v>727</v>
      </c>
      <c r="K8" s="157" t="s">
        <v>733</v>
      </c>
      <c r="L8" s="214" t="s">
        <v>818</v>
      </c>
      <c r="M8" s="201">
        <v>0</v>
      </c>
      <c r="N8" s="155" t="s">
        <v>161</v>
      </c>
      <c r="O8" s="13"/>
    </row>
    <row r="9" spans="1:15" s="94" customFormat="1" ht="74.25" customHeight="1" thickTop="1" thickBot="1" x14ac:dyDescent="0.3">
      <c r="A9" s="155">
        <v>46</v>
      </c>
      <c r="B9" s="158" t="s">
        <v>25</v>
      </c>
      <c r="C9" s="155" t="s">
        <v>75</v>
      </c>
      <c r="D9" s="157" t="s">
        <v>495</v>
      </c>
      <c r="E9" s="157" t="s">
        <v>395</v>
      </c>
      <c r="F9" s="155">
        <v>5000</v>
      </c>
      <c r="G9" s="157" t="s">
        <v>149</v>
      </c>
      <c r="H9" s="157" t="s">
        <v>171</v>
      </c>
      <c r="I9" s="157" t="s">
        <v>492</v>
      </c>
      <c r="J9" s="157" t="s">
        <v>728</v>
      </c>
      <c r="K9" s="157" t="s">
        <v>729</v>
      </c>
      <c r="L9" s="157" t="s">
        <v>730</v>
      </c>
      <c r="M9" s="201">
        <v>0</v>
      </c>
      <c r="N9" s="155" t="s">
        <v>161</v>
      </c>
      <c r="O9" s="13"/>
    </row>
    <row r="10" spans="1:15" s="94" customFormat="1" ht="71.25" customHeight="1" thickTop="1" thickBot="1" x14ac:dyDescent="0.3">
      <c r="A10" s="155">
        <v>46</v>
      </c>
      <c r="B10" s="158" t="s">
        <v>25</v>
      </c>
      <c r="C10" s="155" t="s">
        <v>49</v>
      </c>
      <c r="D10" s="157" t="s">
        <v>507</v>
      </c>
      <c r="E10" s="157" t="s">
        <v>126</v>
      </c>
      <c r="F10" s="155">
        <v>40000</v>
      </c>
      <c r="G10" s="157" t="s">
        <v>151</v>
      </c>
      <c r="H10" s="157" t="s">
        <v>533</v>
      </c>
      <c r="I10" s="157" t="s">
        <v>162</v>
      </c>
      <c r="J10" s="157" t="s">
        <v>731</v>
      </c>
      <c r="K10" s="157" t="s">
        <v>1</v>
      </c>
      <c r="L10" s="157" t="s">
        <v>1</v>
      </c>
      <c r="M10" s="201">
        <v>12000</v>
      </c>
      <c r="N10" s="155" t="s">
        <v>17</v>
      </c>
      <c r="O10" s="13"/>
    </row>
    <row r="11" spans="1:15" s="94" customFormat="1" ht="96" customHeight="1" thickTop="1" thickBot="1" x14ac:dyDescent="0.3">
      <c r="A11" s="158">
        <v>54</v>
      </c>
      <c r="B11" s="158" t="s">
        <v>25</v>
      </c>
      <c r="C11" s="158" t="s">
        <v>50</v>
      </c>
      <c r="D11" s="158" t="s">
        <v>497</v>
      </c>
      <c r="E11" s="158" t="s">
        <v>356</v>
      </c>
      <c r="F11" s="160">
        <v>5000</v>
      </c>
      <c r="G11" s="157" t="s">
        <v>149</v>
      </c>
      <c r="H11" s="157" t="s">
        <v>171</v>
      </c>
      <c r="I11" s="157" t="s">
        <v>496</v>
      </c>
      <c r="J11" s="157" t="s">
        <v>732</v>
      </c>
      <c r="K11" s="213" t="s">
        <v>733</v>
      </c>
      <c r="L11" s="213" t="s">
        <v>639</v>
      </c>
      <c r="M11" s="201">
        <v>0</v>
      </c>
      <c r="N11" s="158" t="s">
        <v>17</v>
      </c>
    </row>
    <row r="12" spans="1:15" s="94" customFormat="1" ht="80.25" customHeight="1" thickTop="1" thickBot="1" x14ac:dyDescent="0.3">
      <c r="A12" s="155">
        <v>46</v>
      </c>
      <c r="B12" s="158" t="s">
        <v>25</v>
      </c>
      <c r="C12" s="155" t="s">
        <v>50</v>
      </c>
      <c r="D12" s="157" t="s">
        <v>399</v>
      </c>
      <c r="E12" s="157" t="s">
        <v>127</v>
      </c>
      <c r="F12" s="159">
        <v>300000</v>
      </c>
      <c r="G12" s="157" t="s">
        <v>149</v>
      </c>
      <c r="H12" s="157" t="s">
        <v>148</v>
      </c>
      <c r="I12" s="157" t="s">
        <v>156</v>
      </c>
      <c r="J12" s="157" t="s">
        <v>820</v>
      </c>
      <c r="K12" s="213" t="s">
        <v>1</v>
      </c>
      <c r="L12" s="213" t="s">
        <v>1</v>
      </c>
      <c r="M12" s="201">
        <v>284706000</v>
      </c>
      <c r="N12" s="155" t="s">
        <v>17</v>
      </c>
      <c r="O12" s="13"/>
    </row>
    <row r="13" spans="1:15" s="94" customFormat="1" ht="96.75" customHeight="1" thickTop="1" thickBot="1" x14ac:dyDescent="0.3">
      <c r="A13" s="155">
        <v>46</v>
      </c>
      <c r="B13" s="158" t="s">
        <v>25</v>
      </c>
      <c r="C13" s="155" t="s">
        <v>49</v>
      </c>
      <c r="D13" s="157" t="s">
        <v>166</v>
      </c>
      <c r="E13" s="157" t="s">
        <v>128</v>
      </c>
      <c r="F13" s="161">
        <v>169920</v>
      </c>
      <c r="G13" s="157" t="s">
        <v>149</v>
      </c>
      <c r="H13" s="157" t="s">
        <v>148</v>
      </c>
      <c r="I13" s="162" t="s">
        <v>167</v>
      </c>
      <c r="J13" s="162" t="s">
        <v>662</v>
      </c>
      <c r="K13" s="213" t="s">
        <v>1</v>
      </c>
      <c r="L13" s="213" t="s">
        <v>1</v>
      </c>
      <c r="M13" s="201">
        <v>93218</v>
      </c>
      <c r="N13" s="155" t="s">
        <v>17</v>
      </c>
      <c r="O13" s="13"/>
    </row>
    <row r="14" spans="1:15" s="13" customFormat="1" ht="72" customHeight="1" thickTop="1" thickBot="1" x14ac:dyDescent="0.3">
      <c r="A14" s="163">
        <v>46</v>
      </c>
      <c r="B14" s="158" t="s">
        <v>25</v>
      </c>
      <c r="C14" s="163" t="s">
        <v>155</v>
      </c>
      <c r="D14" s="157" t="s">
        <v>508</v>
      </c>
      <c r="E14" s="157" t="s">
        <v>390</v>
      </c>
      <c r="F14" s="159">
        <v>1101597</v>
      </c>
      <c r="G14" s="157" t="s">
        <v>149</v>
      </c>
      <c r="H14" s="157" t="s">
        <v>533</v>
      </c>
      <c r="I14" s="157" t="s">
        <v>821</v>
      </c>
      <c r="J14" s="179" t="s">
        <v>734</v>
      </c>
      <c r="K14" s="157" t="s">
        <v>1</v>
      </c>
      <c r="L14" s="157" t="s">
        <v>1</v>
      </c>
      <c r="M14" s="201">
        <v>0</v>
      </c>
      <c r="N14" s="158" t="s">
        <v>17</v>
      </c>
    </row>
    <row r="15" spans="1:15" s="94" customFormat="1" ht="97.5" customHeight="1" thickTop="1" thickBot="1" x14ac:dyDescent="0.3">
      <c r="A15" s="163">
        <v>46</v>
      </c>
      <c r="B15" s="158" t="s">
        <v>25</v>
      </c>
      <c r="C15" s="163" t="s">
        <v>155</v>
      </c>
      <c r="D15" s="157" t="s">
        <v>165</v>
      </c>
      <c r="E15" s="157" t="s">
        <v>129</v>
      </c>
      <c r="F15" s="159">
        <v>264000</v>
      </c>
      <c r="G15" s="157" t="s">
        <v>149</v>
      </c>
      <c r="H15" s="157" t="s">
        <v>157</v>
      </c>
      <c r="I15" s="157" t="s">
        <v>498</v>
      </c>
      <c r="J15" s="179" t="s">
        <v>735</v>
      </c>
      <c r="K15" s="157" t="s">
        <v>733</v>
      </c>
      <c r="L15" s="213" t="s">
        <v>639</v>
      </c>
      <c r="M15" s="201">
        <v>0</v>
      </c>
      <c r="N15" s="158" t="s">
        <v>17</v>
      </c>
      <c r="O15" s="13"/>
    </row>
    <row r="16" spans="1:15" s="2" customFormat="1" ht="96" customHeight="1" thickTop="1" thickBot="1" x14ac:dyDescent="0.3">
      <c r="A16" s="164">
        <v>39</v>
      </c>
      <c r="B16" s="165" t="s">
        <v>25</v>
      </c>
      <c r="C16" s="164" t="s">
        <v>155</v>
      </c>
      <c r="D16" s="166" t="s">
        <v>587</v>
      </c>
      <c r="E16" s="167" t="s">
        <v>391</v>
      </c>
      <c r="F16" s="168">
        <v>10560</v>
      </c>
      <c r="G16" s="166" t="s">
        <v>149</v>
      </c>
      <c r="H16" s="166" t="s">
        <v>171</v>
      </c>
      <c r="I16" s="157" t="s">
        <v>586</v>
      </c>
      <c r="J16" s="179" t="s">
        <v>735</v>
      </c>
      <c r="K16" s="157" t="s">
        <v>733</v>
      </c>
      <c r="L16" s="213" t="s">
        <v>639</v>
      </c>
      <c r="M16" s="201">
        <v>0</v>
      </c>
      <c r="N16" s="165" t="s">
        <v>17</v>
      </c>
    </row>
    <row r="17" spans="1:15" s="94" customFormat="1" ht="105.75" customHeight="1" thickTop="1" thickBot="1" x14ac:dyDescent="0.3">
      <c r="A17" s="155">
        <v>46</v>
      </c>
      <c r="B17" s="158" t="s">
        <v>25</v>
      </c>
      <c r="C17" s="155" t="s">
        <v>155</v>
      </c>
      <c r="D17" s="157" t="s">
        <v>499</v>
      </c>
      <c r="E17" s="157" t="s">
        <v>380</v>
      </c>
      <c r="F17" s="159">
        <v>100000</v>
      </c>
      <c r="G17" s="157" t="s">
        <v>149</v>
      </c>
      <c r="H17" s="157" t="s">
        <v>171</v>
      </c>
      <c r="I17" s="157" t="s">
        <v>500</v>
      </c>
      <c r="J17" s="157" t="s">
        <v>736</v>
      </c>
      <c r="K17" s="157" t="s">
        <v>733</v>
      </c>
      <c r="L17" s="213" t="s">
        <v>639</v>
      </c>
      <c r="M17" s="201">
        <v>0</v>
      </c>
      <c r="N17" s="155" t="s">
        <v>161</v>
      </c>
      <c r="O17" s="13"/>
    </row>
    <row r="18" spans="1:15" s="94" customFormat="1" ht="77.25" customHeight="1" thickTop="1" thickBot="1" x14ac:dyDescent="0.3">
      <c r="A18" s="163">
        <v>46</v>
      </c>
      <c r="B18" s="158" t="s">
        <v>25</v>
      </c>
      <c r="C18" s="169" t="s">
        <v>49</v>
      </c>
      <c r="D18" s="170" t="s">
        <v>502</v>
      </c>
      <c r="E18" s="170" t="s">
        <v>381</v>
      </c>
      <c r="F18" s="171">
        <v>30000</v>
      </c>
      <c r="G18" s="158" t="s">
        <v>149</v>
      </c>
      <c r="H18" s="156" t="s">
        <v>171</v>
      </c>
      <c r="I18" s="157" t="s">
        <v>501</v>
      </c>
      <c r="J18" s="157" t="s">
        <v>737</v>
      </c>
      <c r="K18" s="157" t="s">
        <v>1</v>
      </c>
      <c r="L18" s="157" t="s">
        <v>1</v>
      </c>
      <c r="M18" s="201">
        <v>8205</v>
      </c>
      <c r="N18" s="146" t="s">
        <v>382</v>
      </c>
      <c r="O18" s="13"/>
    </row>
    <row r="19" spans="1:15" s="94" customFormat="1" ht="84.75" customHeight="1" thickTop="1" thickBot="1" x14ac:dyDescent="0.3">
      <c r="A19" s="155">
        <v>46</v>
      </c>
      <c r="B19" s="158" t="s">
        <v>25</v>
      </c>
      <c r="C19" s="155" t="s">
        <v>49</v>
      </c>
      <c r="D19" s="157" t="s">
        <v>509</v>
      </c>
      <c r="E19" s="157" t="s">
        <v>383</v>
      </c>
      <c r="F19" s="159">
        <v>175000</v>
      </c>
      <c r="G19" s="157" t="s">
        <v>149</v>
      </c>
      <c r="H19" s="157" t="s">
        <v>533</v>
      </c>
      <c r="I19" s="157" t="s">
        <v>793</v>
      </c>
      <c r="J19" s="179" t="s">
        <v>738</v>
      </c>
      <c r="K19" s="157" t="s">
        <v>733</v>
      </c>
      <c r="L19" s="213" t="s">
        <v>639</v>
      </c>
      <c r="M19" s="201">
        <v>0</v>
      </c>
      <c r="N19" s="155" t="s">
        <v>161</v>
      </c>
      <c r="O19" s="13"/>
    </row>
    <row r="20" spans="1:15" s="94" customFormat="1" ht="84.75" customHeight="1" thickTop="1" thickBot="1" x14ac:dyDescent="0.3">
      <c r="A20" s="155">
        <v>46</v>
      </c>
      <c r="B20" s="158" t="s">
        <v>25</v>
      </c>
      <c r="C20" s="155" t="s">
        <v>155</v>
      </c>
      <c r="D20" s="157" t="s">
        <v>510</v>
      </c>
      <c r="E20" s="157" t="s">
        <v>384</v>
      </c>
      <c r="F20" s="159">
        <v>100000</v>
      </c>
      <c r="G20" s="157" t="s">
        <v>149</v>
      </c>
      <c r="H20" s="157" t="s">
        <v>533</v>
      </c>
      <c r="I20" s="172" t="s">
        <v>1401</v>
      </c>
      <c r="J20" s="179" t="s">
        <v>741</v>
      </c>
      <c r="K20" s="157" t="s">
        <v>733</v>
      </c>
      <c r="L20" s="157" t="s">
        <v>742</v>
      </c>
      <c r="M20" s="201">
        <v>0</v>
      </c>
      <c r="N20" s="155" t="s">
        <v>161</v>
      </c>
      <c r="O20" s="13"/>
    </row>
    <row r="21" spans="1:15" s="94" customFormat="1" ht="96.75" customHeight="1" thickTop="1" thickBot="1" x14ac:dyDescent="0.3">
      <c r="A21" s="155">
        <v>46</v>
      </c>
      <c r="B21" s="158" t="s">
        <v>25</v>
      </c>
      <c r="C21" s="155" t="s">
        <v>155</v>
      </c>
      <c r="D21" s="157" t="s">
        <v>511</v>
      </c>
      <c r="E21" s="157" t="s">
        <v>385</v>
      </c>
      <c r="F21" s="159">
        <v>50000</v>
      </c>
      <c r="G21" s="157" t="s">
        <v>149</v>
      </c>
      <c r="H21" s="157" t="s">
        <v>566</v>
      </c>
      <c r="I21" s="172" t="s">
        <v>1402</v>
      </c>
      <c r="J21" s="179" t="s">
        <v>743</v>
      </c>
      <c r="K21" s="157" t="s">
        <v>733</v>
      </c>
      <c r="L21" s="157" t="s">
        <v>742</v>
      </c>
      <c r="M21" s="201">
        <v>0</v>
      </c>
      <c r="N21" s="155" t="s">
        <v>161</v>
      </c>
      <c r="O21" s="13"/>
    </row>
    <row r="22" spans="1:15" s="94" customFormat="1" ht="70.5" customHeight="1" thickTop="1" thickBot="1" x14ac:dyDescent="0.3">
      <c r="A22" s="155">
        <v>46</v>
      </c>
      <c r="B22" s="158" t="s">
        <v>25</v>
      </c>
      <c r="C22" s="155" t="s">
        <v>155</v>
      </c>
      <c r="D22" s="157" t="s">
        <v>503</v>
      </c>
      <c r="E22" s="157" t="s">
        <v>386</v>
      </c>
      <c r="F22" s="159">
        <v>100000</v>
      </c>
      <c r="G22" s="157" t="s">
        <v>149</v>
      </c>
      <c r="H22" s="157" t="s">
        <v>171</v>
      </c>
      <c r="I22" s="157" t="s">
        <v>588</v>
      </c>
      <c r="J22" s="157" t="s">
        <v>744</v>
      </c>
      <c r="K22" s="157" t="s">
        <v>733</v>
      </c>
      <c r="L22" s="157" t="s">
        <v>740</v>
      </c>
      <c r="M22" s="201">
        <v>0</v>
      </c>
      <c r="N22" s="155" t="s">
        <v>161</v>
      </c>
      <c r="O22" s="13"/>
    </row>
    <row r="23" spans="1:15" s="13" customFormat="1" ht="105.75" customHeight="1" thickTop="1" thickBot="1" x14ac:dyDescent="0.3">
      <c r="A23" s="155">
        <v>46</v>
      </c>
      <c r="B23" s="158" t="s">
        <v>25</v>
      </c>
      <c r="C23" s="155" t="s">
        <v>155</v>
      </c>
      <c r="D23" s="157" t="s">
        <v>425</v>
      </c>
      <c r="E23" s="157" t="s">
        <v>388</v>
      </c>
      <c r="F23" s="159">
        <v>300000</v>
      </c>
      <c r="G23" s="157" t="s">
        <v>151</v>
      </c>
      <c r="H23" s="157" t="s">
        <v>157</v>
      </c>
      <c r="I23" s="157" t="s">
        <v>794</v>
      </c>
      <c r="J23" s="157" t="s">
        <v>735</v>
      </c>
      <c r="K23" s="157" t="s">
        <v>745</v>
      </c>
      <c r="L23" s="157" t="s">
        <v>747</v>
      </c>
      <c r="M23" s="201">
        <v>0</v>
      </c>
      <c r="N23" s="155" t="s">
        <v>161</v>
      </c>
    </row>
    <row r="24" spans="1:15" s="94" customFormat="1" ht="75" customHeight="1" thickTop="1" thickBot="1" x14ac:dyDescent="0.3">
      <c r="A24" s="155">
        <v>54</v>
      </c>
      <c r="B24" s="158" t="s">
        <v>25</v>
      </c>
      <c r="C24" s="155" t="s">
        <v>50</v>
      </c>
      <c r="D24" s="158" t="s">
        <v>504</v>
      </c>
      <c r="E24" s="156" t="s">
        <v>387</v>
      </c>
      <c r="F24" s="173">
        <v>30000</v>
      </c>
      <c r="G24" s="174" t="s">
        <v>149</v>
      </c>
      <c r="H24" s="174" t="s">
        <v>171</v>
      </c>
      <c r="I24" s="158" t="s">
        <v>506</v>
      </c>
      <c r="J24" s="213" t="s">
        <v>1403</v>
      </c>
      <c r="K24" s="213" t="s">
        <v>746</v>
      </c>
      <c r="L24" s="213" t="s">
        <v>748</v>
      </c>
      <c r="M24" s="201">
        <v>0</v>
      </c>
      <c r="N24" s="158" t="s">
        <v>17</v>
      </c>
      <c r="O24" s="13"/>
    </row>
    <row r="25" spans="1:15" s="94" customFormat="1" ht="136.5" customHeight="1" thickTop="1" thickBot="1" x14ac:dyDescent="0.3">
      <c r="A25" s="163">
        <v>54</v>
      </c>
      <c r="B25" s="158" t="s">
        <v>25</v>
      </c>
      <c r="C25" s="163" t="s">
        <v>50</v>
      </c>
      <c r="D25" s="158" t="s">
        <v>505</v>
      </c>
      <c r="E25" s="156" t="s">
        <v>183</v>
      </c>
      <c r="F25" s="173">
        <f>1356000-356000</f>
        <v>1000000</v>
      </c>
      <c r="G25" s="174" t="s">
        <v>149</v>
      </c>
      <c r="H25" s="174" t="s">
        <v>157</v>
      </c>
      <c r="I25" s="157" t="s">
        <v>795</v>
      </c>
      <c r="J25" s="166" t="s">
        <v>749</v>
      </c>
      <c r="K25" s="157" t="s">
        <v>733</v>
      </c>
      <c r="L25" s="213" t="s">
        <v>639</v>
      </c>
      <c r="M25" s="201">
        <v>0</v>
      </c>
      <c r="N25" s="158" t="s">
        <v>179</v>
      </c>
      <c r="O25" s="13"/>
    </row>
    <row r="26" spans="1:15" ht="15.75" thickTop="1" x14ac:dyDescent="0.25"/>
  </sheetData>
  <mergeCells count="13">
    <mergeCell ref="I3:I4"/>
    <mergeCell ref="A1:N1"/>
    <mergeCell ref="N3:N4"/>
    <mergeCell ref="A3:A4"/>
    <mergeCell ref="B3:B4"/>
    <mergeCell ref="D3:D4"/>
    <mergeCell ref="E3:E4"/>
    <mergeCell ref="F3:F4"/>
    <mergeCell ref="G3:G4"/>
    <mergeCell ref="H3:H4"/>
    <mergeCell ref="C3:C4"/>
    <mergeCell ref="A2:N2"/>
    <mergeCell ref="J3:J4"/>
  </mergeCells>
  <pageMargins left="0.70866141732283505" right="0.70866141732283505" top="0.74803149606299202" bottom="0.74803149606299202" header="0.31496062992126" footer="0.31496062992126"/>
  <pageSetup paperSize="9" scale="65" fitToHeight="0"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89"/>
  <sheetViews>
    <sheetView view="pageBreakPreview" zoomScale="90" zoomScaleNormal="80" zoomScaleSheetLayoutView="90" workbookViewId="0">
      <pane ySplit="1" topLeftCell="A76" activePane="bottomLeft" state="frozen"/>
      <selection activeCell="D17" sqref="D17"/>
      <selection pane="bottomLeft" activeCell="D17" sqref="D17"/>
    </sheetView>
  </sheetViews>
  <sheetFormatPr defaultRowHeight="15" x14ac:dyDescent="0.25"/>
  <cols>
    <col min="1" max="1" width="5.85546875" style="25" customWidth="1"/>
    <col min="2" max="2" width="14" style="23" customWidth="1"/>
    <col min="3" max="3" width="15.140625" style="23" customWidth="1"/>
    <col min="4" max="4" width="16.5703125" style="23" customWidth="1"/>
    <col min="5" max="5" width="16.7109375" style="23" customWidth="1"/>
    <col min="6" max="6" width="11.85546875" style="88" customWidth="1"/>
    <col min="7" max="7" width="13" style="23" customWidth="1"/>
    <col min="8" max="8" width="13.5703125" style="23" customWidth="1"/>
    <col min="9" max="12" width="17.42578125" style="23" customWidth="1"/>
    <col min="13" max="13" width="14.42578125" style="219" customWidth="1"/>
    <col min="14" max="14" width="14.140625" style="23" customWidth="1"/>
    <col min="15" max="15" width="9.140625" style="13"/>
    <col min="16" max="257" width="9.140625" style="23"/>
    <col min="258" max="258" width="5.85546875" style="23" customWidth="1"/>
    <col min="259" max="259" width="14" style="23" customWidth="1"/>
    <col min="260" max="260" width="15.140625" style="23" customWidth="1"/>
    <col min="261" max="261" width="16.5703125" style="23" customWidth="1"/>
    <col min="262" max="262" width="12.42578125" style="23" customWidth="1"/>
    <col min="263" max="263" width="10" style="23" customWidth="1"/>
    <col min="264" max="264" width="10.5703125" style="23" customWidth="1"/>
    <col min="265" max="265" width="10.140625" style="23" customWidth="1"/>
    <col min="266" max="266" width="18" style="23" customWidth="1"/>
    <col min="267" max="267" width="17.42578125" style="23" customWidth="1"/>
    <col min="268" max="268" width="12.42578125" style="23" customWidth="1"/>
    <col min="269" max="270" width="12.5703125" style="23" customWidth="1"/>
    <col min="271" max="513" width="9.140625" style="23"/>
    <col min="514" max="514" width="5.85546875" style="23" customWidth="1"/>
    <col min="515" max="515" width="14" style="23" customWidth="1"/>
    <col min="516" max="516" width="15.140625" style="23" customWidth="1"/>
    <col min="517" max="517" width="16.5703125" style="23" customWidth="1"/>
    <col min="518" max="518" width="12.42578125" style="23" customWidth="1"/>
    <col min="519" max="519" width="10" style="23" customWidth="1"/>
    <col min="520" max="520" width="10.5703125" style="23" customWidth="1"/>
    <col min="521" max="521" width="10.140625" style="23" customWidth="1"/>
    <col min="522" max="522" width="18" style="23" customWidth="1"/>
    <col min="523" max="523" width="17.42578125" style="23" customWidth="1"/>
    <col min="524" max="524" width="12.42578125" style="23" customWidth="1"/>
    <col min="525" max="526" width="12.5703125" style="23" customWidth="1"/>
    <col min="527" max="769" width="9.140625" style="23"/>
    <col min="770" max="770" width="5.85546875" style="23" customWidth="1"/>
    <col min="771" max="771" width="14" style="23" customWidth="1"/>
    <col min="772" max="772" width="15.140625" style="23" customWidth="1"/>
    <col min="773" max="773" width="16.5703125" style="23" customWidth="1"/>
    <col min="774" max="774" width="12.42578125" style="23" customWidth="1"/>
    <col min="775" max="775" width="10" style="23" customWidth="1"/>
    <col min="776" max="776" width="10.5703125" style="23" customWidth="1"/>
    <col min="777" max="777" width="10.140625" style="23" customWidth="1"/>
    <col min="778" max="778" width="18" style="23" customWidth="1"/>
    <col min="779" max="779" width="17.42578125" style="23" customWidth="1"/>
    <col min="780" max="780" width="12.42578125" style="23" customWidth="1"/>
    <col min="781" max="782" width="12.5703125" style="23" customWidth="1"/>
    <col min="783" max="1025" width="9.140625" style="23"/>
    <col min="1026" max="1026" width="5.85546875" style="23" customWidth="1"/>
    <col min="1027" max="1027" width="14" style="23" customWidth="1"/>
    <col min="1028" max="1028" width="15.140625" style="23" customWidth="1"/>
    <col min="1029" max="1029" width="16.5703125" style="23" customWidth="1"/>
    <col min="1030" max="1030" width="12.42578125" style="23" customWidth="1"/>
    <col min="1031" max="1031" width="10" style="23" customWidth="1"/>
    <col min="1032" max="1032" width="10.5703125" style="23" customWidth="1"/>
    <col min="1033" max="1033" width="10.140625" style="23" customWidth="1"/>
    <col min="1034" max="1034" width="18" style="23" customWidth="1"/>
    <col min="1035" max="1035" width="17.42578125" style="23" customWidth="1"/>
    <col min="1036" max="1036" width="12.42578125" style="23" customWidth="1"/>
    <col min="1037" max="1038" width="12.5703125" style="23" customWidth="1"/>
    <col min="1039" max="1281" width="9.140625" style="23"/>
    <col min="1282" max="1282" width="5.85546875" style="23" customWidth="1"/>
    <col min="1283" max="1283" width="14" style="23" customWidth="1"/>
    <col min="1284" max="1284" width="15.140625" style="23" customWidth="1"/>
    <col min="1285" max="1285" width="16.5703125" style="23" customWidth="1"/>
    <col min="1286" max="1286" width="12.42578125" style="23" customWidth="1"/>
    <col min="1287" max="1287" width="10" style="23" customWidth="1"/>
    <col min="1288" max="1288" width="10.5703125" style="23" customWidth="1"/>
    <col min="1289" max="1289" width="10.140625" style="23" customWidth="1"/>
    <col min="1290" max="1290" width="18" style="23" customWidth="1"/>
    <col min="1291" max="1291" width="17.42578125" style="23" customWidth="1"/>
    <col min="1292" max="1292" width="12.42578125" style="23" customWidth="1"/>
    <col min="1293" max="1294" width="12.5703125" style="23" customWidth="1"/>
    <col min="1295" max="1537" width="9.140625" style="23"/>
    <col min="1538" max="1538" width="5.85546875" style="23" customWidth="1"/>
    <col min="1539" max="1539" width="14" style="23" customWidth="1"/>
    <col min="1540" max="1540" width="15.140625" style="23" customWidth="1"/>
    <col min="1541" max="1541" width="16.5703125" style="23" customWidth="1"/>
    <col min="1542" max="1542" width="12.42578125" style="23" customWidth="1"/>
    <col min="1543" max="1543" width="10" style="23" customWidth="1"/>
    <col min="1544" max="1544" width="10.5703125" style="23" customWidth="1"/>
    <col min="1545" max="1545" width="10.140625" style="23" customWidth="1"/>
    <col min="1546" max="1546" width="18" style="23" customWidth="1"/>
    <col min="1547" max="1547" width="17.42578125" style="23" customWidth="1"/>
    <col min="1548" max="1548" width="12.42578125" style="23" customWidth="1"/>
    <col min="1549" max="1550" width="12.5703125" style="23" customWidth="1"/>
    <col min="1551" max="1793" width="9.140625" style="23"/>
    <col min="1794" max="1794" width="5.85546875" style="23" customWidth="1"/>
    <col min="1795" max="1795" width="14" style="23" customWidth="1"/>
    <col min="1796" max="1796" width="15.140625" style="23" customWidth="1"/>
    <col min="1797" max="1797" width="16.5703125" style="23" customWidth="1"/>
    <col min="1798" max="1798" width="12.42578125" style="23" customWidth="1"/>
    <col min="1799" max="1799" width="10" style="23" customWidth="1"/>
    <col min="1800" max="1800" width="10.5703125" style="23" customWidth="1"/>
    <col min="1801" max="1801" width="10.140625" style="23" customWidth="1"/>
    <col min="1802" max="1802" width="18" style="23" customWidth="1"/>
    <col min="1803" max="1803" width="17.42578125" style="23" customWidth="1"/>
    <col min="1804" max="1804" width="12.42578125" style="23" customWidth="1"/>
    <col min="1805" max="1806" width="12.5703125" style="23" customWidth="1"/>
    <col min="1807" max="2049" width="9.140625" style="23"/>
    <col min="2050" max="2050" width="5.85546875" style="23" customWidth="1"/>
    <col min="2051" max="2051" width="14" style="23" customWidth="1"/>
    <col min="2052" max="2052" width="15.140625" style="23" customWidth="1"/>
    <col min="2053" max="2053" width="16.5703125" style="23" customWidth="1"/>
    <col min="2054" max="2054" width="12.42578125" style="23" customWidth="1"/>
    <col min="2055" max="2055" width="10" style="23" customWidth="1"/>
    <col min="2056" max="2056" width="10.5703125" style="23" customWidth="1"/>
    <col min="2057" max="2057" width="10.140625" style="23" customWidth="1"/>
    <col min="2058" max="2058" width="18" style="23" customWidth="1"/>
    <col min="2059" max="2059" width="17.42578125" style="23" customWidth="1"/>
    <col min="2060" max="2060" width="12.42578125" style="23" customWidth="1"/>
    <col min="2061" max="2062" width="12.5703125" style="23" customWidth="1"/>
    <col min="2063" max="2305" width="9.140625" style="23"/>
    <col min="2306" max="2306" width="5.85546875" style="23" customWidth="1"/>
    <col min="2307" max="2307" width="14" style="23" customWidth="1"/>
    <col min="2308" max="2308" width="15.140625" style="23" customWidth="1"/>
    <col min="2309" max="2309" width="16.5703125" style="23" customWidth="1"/>
    <col min="2310" max="2310" width="12.42578125" style="23" customWidth="1"/>
    <col min="2311" max="2311" width="10" style="23" customWidth="1"/>
    <col min="2312" max="2312" width="10.5703125" style="23" customWidth="1"/>
    <col min="2313" max="2313" width="10.140625" style="23" customWidth="1"/>
    <col min="2314" max="2314" width="18" style="23" customWidth="1"/>
    <col min="2315" max="2315" width="17.42578125" style="23" customWidth="1"/>
    <col min="2316" max="2316" width="12.42578125" style="23" customWidth="1"/>
    <col min="2317" max="2318" width="12.5703125" style="23" customWidth="1"/>
    <col min="2319" max="2561" width="9.140625" style="23"/>
    <col min="2562" max="2562" width="5.85546875" style="23" customWidth="1"/>
    <col min="2563" max="2563" width="14" style="23" customWidth="1"/>
    <col min="2564" max="2564" width="15.140625" style="23" customWidth="1"/>
    <col min="2565" max="2565" width="16.5703125" style="23" customWidth="1"/>
    <col min="2566" max="2566" width="12.42578125" style="23" customWidth="1"/>
    <col min="2567" max="2567" width="10" style="23" customWidth="1"/>
    <col min="2568" max="2568" width="10.5703125" style="23" customWidth="1"/>
    <col min="2569" max="2569" width="10.140625" style="23" customWidth="1"/>
    <col min="2570" max="2570" width="18" style="23" customWidth="1"/>
    <col min="2571" max="2571" width="17.42578125" style="23" customWidth="1"/>
    <col min="2572" max="2572" width="12.42578125" style="23" customWidth="1"/>
    <col min="2573" max="2574" width="12.5703125" style="23" customWidth="1"/>
    <col min="2575" max="2817" width="9.140625" style="23"/>
    <col min="2818" max="2818" width="5.85546875" style="23" customWidth="1"/>
    <col min="2819" max="2819" width="14" style="23" customWidth="1"/>
    <col min="2820" max="2820" width="15.140625" style="23" customWidth="1"/>
    <col min="2821" max="2821" width="16.5703125" style="23" customWidth="1"/>
    <col min="2822" max="2822" width="12.42578125" style="23" customWidth="1"/>
    <col min="2823" max="2823" width="10" style="23" customWidth="1"/>
    <col min="2824" max="2824" width="10.5703125" style="23" customWidth="1"/>
    <col min="2825" max="2825" width="10.140625" style="23" customWidth="1"/>
    <col min="2826" max="2826" width="18" style="23" customWidth="1"/>
    <col min="2827" max="2827" width="17.42578125" style="23" customWidth="1"/>
    <col min="2828" max="2828" width="12.42578125" style="23" customWidth="1"/>
    <col min="2829" max="2830" width="12.5703125" style="23" customWidth="1"/>
    <col min="2831" max="3073" width="9.140625" style="23"/>
    <col min="3074" max="3074" width="5.85546875" style="23" customWidth="1"/>
    <col min="3075" max="3075" width="14" style="23" customWidth="1"/>
    <col min="3076" max="3076" width="15.140625" style="23" customWidth="1"/>
    <col min="3077" max="3077" width="16.5703125" style="23" customWidth="1"/>
    <col min="3078" max="3078" width="12.42578125" style="23" customWidth="1"/>
    <col min="3079" max="3079" width="10" style="23" customWidth="1"/>
    <col min="3080" max="3080" width="10.5703125" style="23" customWidth="1"/>
    <col min="3081" max="3081" width="10.140625" style="23" customWidth="1"/>
    <col min="3082" max="3082" width="18" style="23" customWidth="1"/>
    <col min="3083" max="3083" width="17.42578125" style="23" customWidth="1"/>
    <col min="3084" max="3084" width="12.42578125" style="23" customWidth="1"/>
    <col min="3085" max="3086" width="12.5703125" style="23" customWidth="1"/>
    <col min="3087" max="3329" width="9.140625" style="23"/>
    <col min="3330" max="3330" width="5.85546875" style="23" customWidth="1"/>
    <col min="3331" max="3331" width="14" style="23" customWidth="1"/>
    <col min="3332" max="3332" width="15.140625" style="23" customWidth="1"/>
    <col min="3333" max="3333" width="16.5703125" style="23" customWidth="1"/>
    <col min="3334" max="3334" width="12.42578125" style="23" customWidth="1"/>
    <col min="3335" max="3335" width="10" style="23" customWidth="1"/>
    <col min="3336" max="3336" width="10.5703125" style="23" customWidth="1"/>
    <col min="3337" max="3337" width="10.140625" style="23" customWidth="1"/>
    <col min="3338" max="3338" width="18" style="23" customWidth="1"/>
    <col min="3339" max="3339" width="17.42578125" style="23" customWidth="1"/>
    <col min="3340" max="3340" width="12.42578125" style="23" customWidth="1"/>
    <col min="3341" max="3342" width="12.5703125" style="23" customWidth="1"/>
    <col min="3343" max="3585" width="9.140625" style="23"/>
    <col min="3586" max="3586" width="5.85546875" style="23" customWidth="1"/>
    <col min="3587" max="3587" width="14" style="23" customWidth="1"/>
    <col min="3588" max="3588" width="15.140625" style="23" customWidth="1"/>
    <col min="3589" max="3589" width="16.5703125" style="23" customWidth="1"/>
    <col min="3590" max="3590" width="12.42578125" style="23" customWidth="1"/>
    <col min="3591" max="3591" width="10" style="23" customWidth="1"/>
    <col min="3592" max="3592" width="10.5703125" style="23" customWidth="1"/>
    <col min="3593" max="3593" width="10.140625" style="23" customWidth="1"/>
    <col min="3594" max="3594" width="18" style="23" customWidth="1"/>
    <col min="3595" max="3595" width="17.42578125" style="23" customWidth="1"/>
    <col min="3596" max="3596" width="12.42578125" style="23" customWidth="1"/>
    <col min="3597" max="3598" width="12.5703125" style="23" customWidth="1"/>
    <col min="3599" max="3841" width="9.140625" style="23"/>
    <col min="3842" max="3842" width="5.85546875" style="23" customWidth="1"/>
    <col min="3843" max="3843" width="14" style="23" customWidth="1"/>
    <col min="3844" max="3844" width="15.140625" style="23" customWidth="1"/>
    <col min="3845" max="3845" width="16.5703125" style="23" customWidth="1"/>
    <col min="3846" max="3846" width="12.42578125" style="23" customWidth="1"/>
    <col min="3847" max="3847" width="10" style="23" customWidth="1"/>
    <col min="3848" max="3848" width="10.5703125" style="23" customWidth="1"/>
    <col min="3849" max="3849" width="10.140625" style="23" customWidth="1"/>
    <col min="3850" max="3850" width="18" style="23" customWidth="1"/>
    <col min="3851" max="3851" width="17.42578125" style="23" customWidth="1"/>
    <col min="3852" max="3852" width="12.42578125" style="23" customWidth="1"/>
    <col min="3853" max="3854" width="12.5703125" style="23" customWidth="1"/>
    <col min="3855" max="4097" width="9.140625" style="23"/>
    <col min="4098" max="4098" width="5.85546875" style="23" customWidth="1"/>
    <col min="4099" max="4099" width="14" style="23" customWidth="1"/>
    <col min="4100" max="4100" width="15.140625" style="23" customWidth="1"/>
    <col min="4101" max="4101" width="16.5703125" style="23" customWidth="1"/>
    <col min="4102" max="4102" width="12.42578125" style="23" customWidth="1"/>
    <col min="4103" max="4103" width="10" style="23" customWidth="1"/>
    <col min="4104" max="4104" width="10.5703125" style="23" customWidth="1"/>
    <col min="4105" max="4105" width="10.140625" style="23" customWidth="1"/>
    <col min="4106" max="4106" width="18" style="23" customWidth="1"/>
    <col min="4107" max="4107" width="17.42578125" style="23" customWidth="1"/>
    <col min="4108" max="4108" width="12.42578125" style="23" customWidth="1"/>
    <col min="4109" max="4110" width="12.5703125" style="23" customWidth="1"/>
    <col min="4111" max="4353" width="9.140625" style="23"/>
    <col min="4354" max="4354" width="5.85546875" style="23" customWidth="1"/>
    <col min="4355" max="4355" width="14" style="23" customWidth="1"/>
    <col min="4356" max="4356" width="15.140625" style="23" customWidth="1"/>
    <col min="4357" max="4357" width="16.5703125" style="23" customWidth="1"/>
    <col min="4358" max="4358" width="12.42578125" style="23" customWidth="1"/>
    <col min="4359" max="4359" width="10" style="23" customWidth="1"/>
    <col min="4360" max="4360" width="10.5703125" style="23" customWidth="1"/>
    <col min="4361" max="4361" width="10.140625" style="23" customWidth="1"/>
    <col min="4362" max="4362" width="18" style="23" customWidth="1"/>
    <col min="4363" max="4363" width="17.42578125" style="23" customWidth="1"/>
    <col min="4364" max="4364" width="12.42578125" style="23" customWidth="1"/>
    <col min="4365" max="4366" width="12.5703125" style="23" customWidth="1"/>
    <col min="4367" max="4609" width="9.140625" style="23"/>
    <col min="4610" max="4610" width="5.85546875" style="23" customWidth="1"/>
    <col min="4611" max="4611" width="14" style="23" customWidth="1"/>
    <col min="4612" max="4612" width="15.140625" style="23" customWidth="1"/>
    <col min="4613" max="4613" width="16.5703125" style="23" customWidth="1"/>
    <col min="4614" max="4614" width="12.42578125" style="23" customWidth="1"/>
    <col min="4615" max="4615" width="10" style="23" customWidth="1"/>
    <col min="4616" max="4616" width="10.5703125" style="23" customWidth="1"/>
    <col min="4617" max="4617" width="10.140625" style="23" customWidth="1"/>
    <col min="4618" max="4618" width="18" style="23" customWidth="1"/>
    <col min="4619" max="4619" width="17.42578125" style="23" customWidth="1"/>
    <col min="4620" max="4620" width="12.42578125" style="23" customWidth="1"/>
    <col min="4621" max="4622" width="12.5703125" style="23" customWidth="1"/>
    <col min="4623" max="4865" width="9.140625" style="23"/>
    <col min="4866" max="4866" width="5.85546875" style="23" customWidth="1"/>
    <col min="4867" max="4867" width="14" style="23" customWidth="1"/>
    <col min="4868" max="4868" width="15.140625" style="23" customWidth="1"/>
    <col min="4869" max="4869" width="16.5703125" style="23" customWidth="1"/>
    <col min="4870" max="4870" width="12.42578125" style="23" customWidth="1"/>
    <col min="4871" max="4871" width="10" style="23" customWidth="1"/>
    <col min="4872" max="4872" width="10.5703125" style="23" customWidth="1"/>
    <col min="4873" max="4873" width="10.140625" style="23" customWidth="1"/>
    <col min="4874" max="4874" width="18" style="23" customWidth="1"/>
    <col min="4875" max="4875" width="17.42578125" style="23" customWidth="1"/>
    <col min="4876" max="4876" width="12.42578125" style="23" customWidth="1"/>
    <col min="4877" max="4878" width="12.5703125" style="23" customWidth="1"/>
    <col min="4879" max="5121" width="9.140625" style="23"/>
    <col min="5122" max="5122" width="5.85546875" style="23" customWidth="1"/>
    <col min="5123" max="5123" width="14" style="23" customWidth="1"/>
    <col min="5124" max="5124" width="15.140625" style="23" customWidth="1"/>
    <col min="5125" max="5125" width="16.5703125" style="23" customWidth="1"/>
    <col min="5126" max="5126" width="12.42578125" style="23" customWidth="1"/>
    <col min="5127" max="5127" width="10" style="23" customWidth="1"/>
    <col min="5128" max="5128" width="10.5703125" style="23" customWidth="1"/>
    <col min="5129" max="5129" width="10.140625" style="23" customWidth="1"/>
    <col min="5130" max="5130" width="18" style="23" customWidth="1"/>
    <col min="5131" max="5131" width="17.42578125" style="23" customWidth="1"/>
    <col min="5132" max="5132" width="12.42578125" style="23" customWidth="1"/>
    <col min="5133" max="5134" width="12.5703125" style="23" customWidth="1"/>
    <col min="5135" max="5377" width="9.140625" style="23"/>
    <col min="5378" max="5378" width="5.85546875" style="23" customWidth="1"/>
    <col min="5379" max="5379" width="14" style="23" customWidth="1"/>
    <col min="5380" max="5380" width="15.140625" style="23" customWidth="1"/>
    <col min="5381" max="5381" width="16.5703125" style="23" customWidth="1"/>
    <col min="5382" max="5382" width="12.42578125" style="23" customWidth="1"/>
    <col min="5383" max="5383" width="10" style="23" customWidth="1"/>
    <col min="5384" max="5384" width="10.5703125" style="23" customWidth="1"/>
    <col min="5385" max="5385" width="10.140625" style="23" customWidth="1"/>
    <col min="5386" max="5386" width="18" style="23" customWidth="1"/>
    <col min="5387" max="5387" width="17.42578125" style="23" customWidth="1"/>
    <col min="5388" max="5388" width="12.42578125" style="23" customWidth="1"/>
    <col min="5389" max="5390" width="12.5703125" style="23" customWidth="1"/>
    <col min="5391" max="5633" width="9.140625" style="23"/>
    <col min="5634" max="5634" width="5.85546875" style="23" customWidth="1"/>
    <col min="5635" max="5635" width="14" style="23" customWidth="1"/>
    <col min="5636" max="5636" width="15.140625" style="23" customWidth="1"/>
    <col min="5637" max="5637" width="16.5703125" style="23" customWidth="1"/>
    <col min="5638" max="5638" width="12.42578125" style="23" customWidth="1"/>
    <col min="5639" max="5639" width="10" style="23" customWidth="1"/>
    <col min="5640" max="5640" width="10.5703125" style="23" customWidth="1"/>
    <col min="5641" max="5641" width="10.140625" style="23" customWidth="1"/>
    <col min="5642" max="5642" width="18" style="23" customWidth="1"/>
    <col min="5643" max="5643" width="17.42578125" style="23" customWidth="1"/>
    <col min="5644" max="5644" width="12.42578125" style="23" customWidth="1"/>
    <col min="5645" max="5646" width="12.5703125" style="23" customWidth="1"/>
    <col min="5647" max="5889" width="9.140625" style="23"/>
    <col min="5890" max="5890" width="5.85546875" style="23" customWidth="1"/>
    <col min="5891" max="5891" width="14" style="23" customWidth="1"/>
    <col min="5892" max="5892" width="15.140625" style="23" customWidth="1"/>
    <col min="5893" max="5893" width="16.5703125" style="23" customWidth="1"/>
    <col min="5894" max="5894" width="12.42578125" style="23" customWidth="1"/>
    <col min="5895" max="5895" width="10" style="23" customWidth="1"/>
    <col min="5896" max="5896" width="10.5703125" style="23" customWidth="1"/>
    <col min="5897" max="5897" width="10.140625" style="23" customWidth="1"/>
    <col min="5898" max="5898" width="18" style="23" customWidth="1"/>
    <col min="5899" max="5899" width="17.42578125" style="23" customWidth="1"/>
    <col min="5900" max="5900" width="12.42578125" style="23" customWidth="1"/>
    <col min="5901" max="5902" width="12.5703125" style="23" customWidth="1"/>
    <col min="5903" max="6145" width="9.140625" style="23"/>
    <col min="6146" max="6146" width="5.85546875" style="23" customWidth="1"/>
    <col min="6147" max="6147" width="14" style="23" customWidth="1"/>
    <col min="6148" max="6148" width="15.140625" style="23" customWidth="1"/>
    <col min="6149" max="6149" width="16.5703125" style="23" customWidth="1"/>
    <col min="6150" max="6150" width="12.42578125" style="23" customWidth="1"/>
    <col min="6151" max="6151" width="10" style="23" customWidth="1"/>
    <col min="6152" max="6152" width="10.5703125" style="23" customWidth="1"/>
    <col min="6153" max="6153" width="10.140625" style="23" customWidth="1"/>
    <col min="6154" max="6154" width="18" style="23" customWidth="1"/>
    <col min="6155" max="6155" width="17.42578125" style="23" customWidth="1"/>
    <col min="6156" max="6156" width="12.42578125" style="23" customWidth="1"/>
    <col min="6157" max="6158" width="12.5703125" style="23" customWidth="1"/>
    <col min="6159" max="6401" width="9.140625" style="23"/>
    <col min="6402" max="6402" width="5.85546875" style="23" customWidth="1"/>
    <col min="6403" max="6403" width="14" style="23" customWidth="1"/>
    <col min="6404" max="6404" width="15.140625" style="23" customWidth="1"/>
    <col min="6405" max="6405" width="16.5703125" style="23" customWidth="1"/>
    <col min="6406" max="6406" width="12.42578125" style="23" customWidth="1"/>
    <col min="6407" max="6407" width="10" style="23" customWidth="1"/>
    <col min="6408" max="6408" width="10.5703125" style="23" customWidth="1"/>
    <col min="6409" max="6409" width="10.140625" style="23" customWidth="1"/>
    <col min="6410" max="6410" width="18" style="23" customWidth="1"/>
    <col min="6411" max="6411" width="17.42578125" style="23" customWidth="1"/>
    <col min="6412" max="6412" width="12.42578125" style="23" customWidth="1"/>
    <col min="6413" max="6414" width="12.5703125" style="23" customWidth="1"/>
    <col min="6415" max="6657" width="9.140625" style="23"/>
    <col min="6658" max="6658" width="5.85546875" style="23" customWidth="1"/>
    <col min="6659" max="6659" width="14" style="23" customWidth="1"/>
    <col min="6660" max="6660" width="15.140625" style="23" customWidth="1"/>
    <col min="6661" max="6661" width="16.5703125" style="23" customWidth="1"/>
    <col min="6662" max="6662" width="12.42578125" style="23" customWidth="1"/>
    <col min="6663" max="6663" width="10" style="23" customWidth="1"/>
    <col min="6664" max="6664" width="10.5703125" style="23" customWidth="1"/>
    <col min="6665" max="6665" width="10.140625" style="23" customWidth="1"/>
    <col min="6666" max="6666" width="18" style="23" customWidth="1"/>
    <col min="6667" max="6667" width="17.42578125" style="23" customWidth="1"/>
    <col min="6668" max="6668" width="12.42578125" style="23" customWidth="1"/>
    <col min="6669" max="6670" width="12.5703125" style="23" customWidth="1"/>
    <col min="6671" max="6913" width="9.140625" style="23"/>
    <col min="6914" max="6914" width="5.85546875" style="23" customWidth="1"/>
    <col min="6915" max="6915" width="14" style="23" customWidth="1"/>
    <col min="6916" max="6916" width="15.140625" style="23" customWidth="1"/>
    <col min="6917" max="6917" width="16.5703125" style="23" customWidth="1"/>
    <col min="6918" max="6918" width="12.42578125" style="23" customWidth="1"/>
    <col min="6919" max="6919" width="10" style="23" customWidth="1"/>
    <col min="6920" max="6920" width="10.5703125" style="23" customWidth="1"/>
    <col min="6921" max="6921" width="10.140625" style="23" customWidth="1"/>
    <col min="6922" max="6922" width="18" style="23" customWidth="1"/>
    <col min="6923" max="6923" width="17.42578125" style="23" customWidth="1"/>
    <col min="6924" max="6924" width="12.42578125" style="23" customWidth="1"/>
    <col min="6925" max="6926" width="12.5703125" style="23" customWidth="1"/>
    <col min="6927" max="7169" width="9.140625" style="23"/>
    <col min="7170" max="7170" width="5.85546875" style="23" customWidth="1"/>
    <col min="7171" max="7171" width="14" style="23" customWidth="1"/>
    <col min="7172" max="7172" width="15.140625" style="23" customWidth="1"/>
    <col min="7173" max="7173" width="16.5703125" style="23" customWidth="1"/>
    <col min="7174" max="7174" width="12.42578125" style="23" customWidth="1"/>
    <col min="7175" max="7175" width="10" style="23" customWidth="1"/>
    <col min="7176" max="7176" width="10.5703125" style="23" customWidth="1"/>
    <col min="7177" max="7177" width="10.140625" style="23" customWidth="1"/>
    <col min="7178" max="7178" width="18" style="23" customWidth="1"/>
    <col min="7179" max="7179" width="17.42578125" style="23" customWidth="1"/>
    <col min="7180" max="7180" width="12.42578125" style="23" customWidth="1"/>
    <col min="7181" max="7182" width="12.5703125" style="23" customWidth="1"/>
    <col min="7183" max="7425" width="9.140625" style="23"/>
    <col min="7426" max="7426" width="5.85546875" style="23" customWidth="1"/>
    <col min="7427" max="7427" width="14" style="23" customWidth="1"/>
    <col min="7428" max="7428" width="15.140625" style="23" customWidth="1"/>
    <col min="7429" max="7429" width="16.5703125" style="23" customWidth="1"/>
    <col min="7430" max="7430" width="12.42578125" style="23" customWidth="1"/>
    <col min="7431" max="7431" width="10" style="23" customWidth="1"/>
    <col min="7432" max="7432" width="10.5703125" style="23" customWidth="1"/>
    <col min="7433" max="7433" width="10.140625" style="23" customWidth="1"/>
    <col min="7434" max="7434" width="18" style="23" customWidth="1"/>
    <col min="7435" max="7435" width="17.42578125" style="23" customWidth="1"/>
    <col min="7436" max="7436" width="12.42578125" style="23" customWidth="1"/>
    <col min="7437" max="7438" width="12.5703125" style="23" customWidth="1"/>
    <col min="7439" max="7681" width="9.140625" style="23"/>
    <col min="7682" max="7682" width="5.85546875" style="23" customWidth="1"/>
    <col min="7683" max="7683" width="14" style="23" customWidth="1"/>
    <col min="7684" max="7684" width="15.140625" style="23" customWidth="1"/>
    <col min="7685" max="7685" width="16.5703125" style="23" customWidth="1"/>
    <col min="7686" max="7686" width="12.42578125" style="23" customWidth="1"/>
    <col min="7687" max="7687" width="10" style="23" customWidth="1"/>
    <col min="7688" max="7688" width="10.5703125" style="23" customWidth="1"/>
    <col min="7689" max="7689" width="10.140625" style="23" customWidth="1"/>
    <col min="7690" max="7690" width="18" style="23" customWidth="1"/>
    <col min="7691" max="7691" width="17.42578125" style="23" customWidth="1"/>
    <col min="7692" max="7692" width="12.42578125" style="23" customWidth="1"/>
    <col min="7693" max="7694" width="12.5703125" style="23" customWidth="1"/>
    <col min="7695" max="7937" width="9.140625" style="23"/>
    <col min="7938" max="7938" width="5.85546875" style="23" customWidth="1"/>
    <col min="7939" max="7939" width="14" style="23" customWidth="1"/>
    <col min="7940" max="7940" width="15.140625" style="23" customWidth="1"/>
    <col min="7941" max="7941" width="16.5703125" style="23" customWidth="1"/>
    <col min="7942" max="7942" width="12.42578125" style="23" customWidth="1"/>
    <col min="7943" max="7943" width="10" style="23" customWidth="1"/>
    <col min="7944" max="7944" width="10.5703125" style="23" customWidth="1"/>
    <col min="7945" max="7945" width="10.140625" style="23" customWidth="1"/>
    <col min="7946" max="7946" width="18" style="23" customWidth="1"/>
    <col min="7947" max="7947" width="17.42578125" style="23" customWidth="1"/>
    <col min="7948" max="7948" width="12.42578125" style="23" customWidth="1"/>
    <col min="7949" max="7950" width="12.5703125" style="23" customWidth="1"/>
    <col min="7951" max="8193" width="9.140625" style="23"/>
    <col min="8194" max="8194" width="5.85546875" style="23" customWidth="1"/>
    <col min="8195" max="8195" width="14" style="23" customWidth="1"/>
    <col min="8196" max="8196" width="15.140625" style="23" customWidth="1"/>
    <col min="8197" max="8197" width="16.5703125" style="23" customWidth="1"/>
    <col min="8198" max="8198" width="12.42578125" style="23" customWidth="1"/>
    <col min="8199" max="8199" width="10" style="23" customWidth="1"/>
    <col min="8200" max="8200" width="10.5703125" style="23" customWidth="1"/>
    <col min="8201" max="8201" width="10.140625" style="23" customWidth="1"/>
    <col min="8202" max="8202" width="18" style="23" customWidth="1"/>
    <col min="8203" max="8203" width="17.42578125" style="23" customWidth="1"/>
    <col min="8204" max="8204" width="12.42578125" style="23" customWidth="1"/>
    <col min="8205" max="8206" width="12.5703125" style="23" customWidth="1"/>
    <col min="8207" max="8449" width="9.140625" style="23"/>
    <col min="8450" max="8450" width="5.85546875" style="23" customWidth="1"/>
    <col min="8451" max="8451" width="14" style="23" customWidth="1"/>
    <col min="8452" max="8452" width="15.140625" style="23" customWidth="1"/>
    <col min="8453" max="8453" width="16.5703125" style="23" customWidth="1"/>
    <col min="8454" max="8454" width="12.42578125" style="23" customWidth="1"/>
    <col min="8455" max="8455" width="10" style="23" customWidth="1"/>
    <col min="8456" max="8456" width="10.5703125" style="23" customWidth="1"/>
    <col min="8457" max="8457" width="10.140625" style="23" customWidth="1"/>
    <col min="8458" max="8458" width="18" style="23" customWidth="1"/>
    <col min="8459" max="8459" width="17.42578125" style="23" customWidth="1"/>
    <col min="8460" max="8460" width="12.42578125" style="23" customWidth="1"/>
    <col min="8461" max="8462" width="12.5703125" style="23" customWidth="1"/>
    <col min="8463" max="8705" width="9.140625" style="23"/>
    <col min="8706" max="8706" width="5.85546875" style="23" customWidth="1"/>
    <col min="8707" max="8707" width="14" style="23" customWidth="1"/>
    <col min="8708" max="8708" width="15.140625" style="23" customWidth="1"/>
    <col min="8709" max="8709" width="16.5703125" style="23" customWidth="1"/>
    <col min="8710" max="8710" width="12.42578125" style="23" customWidth="1"/>
    <col min="8711" max="8711" width="10" style="23" customWidth="1"/>
    <col min="8712" max="8712" width="10.5703125" style="23" customWidth="1"/>
    <col min="8713" max="8713" width="10.140625" style="23" customWidth="1"/>
    <col min="8714" max="8714" width="18" style="23" customWidth="1"/>
    <col min="8715" max="8715" width="17.42578125" style="23" customWidth="1"/>
    <col min="8716" max="8716" width="12.42578125" style="23" customWidth="1"/>
    <col min="8717" max="8718" width="12.5703125" style="23" customWidth="1"/>
    <col min="8719" max="8961" width="9.140625" style="23"/>
    <col min="8962" max="8962" width="5.85546875" style="23" customWidth="1"/>
    <col min="8963" max="8963" width="14" style="23" customWidth="1"/>
    <col min="8964" max="8964" width="15.140625" style="23" customWidth="1"/>
    <col min="8965" max="8965" width="16.5703125" style="23" customWidth="1"/>
    <col min="8966" max="8966" width="12.42578125" style="23" customWidth="1"/>
    <col min="8967" max="8967" width="10" style="23" customWidth="1"/>
    <col min="8968" max="8968" width="10.5703125" style="23" customWidth="1"/>
    <col min="8969" max="8969" width="10.140625" style="23" customWidth="1"/>
    <col min="8970" max="8970" width="18" style="23" customWidth="1"/>
    <col min="8971" max="8971" width="17.42578125" style="23" customWidth="1"/>
    <col min="8972" max="8972" width="12.42578125" style="23" customWidth="1"/>
    <col min="8973" max="8974" width="12.5703125" style="23" customWidth="1"/>
    <col min="8975" max="9217" width="9.140625" style="23"/>
    <col min="9218" max="9218" width="5.85546875" style="23" customWidth="1"/>
    <col min="9219" max="9219" width="14" style="23" customWidth="1"/>
    <col min="9220" max="9220" width="15.140625" style="23" customWidth="1"/>
    <col min="9221" max="9221" width="16.5703125" style="23" customWidth="1"/>
    <col min="9222" max="9222" width="12.42578125" style="23" customWidth="1"/>
    <col min="9223" max="9223" width="10" style="23" customWidth="1"/>
    <col min="9224" max="9224" width="10.5703125" style="23" customWidth="1"/>
    <col min="9225" max="9225" width="10.140625" style="23" customWidth="1"/>
    <col min="9226" max="9226" width="18" style="23" customWidth="1"/>
    <col min="9227" max="9227" width="17.42578125" style="23" customWidth="1"/>
    <col min="9228" max="9228" width="12.42578125" style="23" customWidth="1"/>
    <col min="9229" max="9230" width="12.5703125" style="23" customWidth="1"/>
    <col min="9231" max="9473" width="9.140625" style="23"/>
    <col min="9474" max="9474" width="5.85546875" style="23" customWidth="1"/>
    <col min="9475" max="9475" width="14" style="23" customWidth="1"/>
    <col min="9476" max="9476" width="15.140625" style="23" customWidth="1"/>
    <col min="9477" max="9477" width="16.5703125" style="23" customWidth="1"/>
    <col min="9478" max="9478" width="12.42578125" style="23" customWidth="1"/>
    <col min="9479" max="9479" width="10" style="23" customWidth="1"/>
    <col min="9480" max="9480" width="10.5703125" style="23" customWidth="1"/>
    <col min="9481" max="9481" width="10.140625" style="23" customWidth="1"/>
    <col min="9482" max="9482" width="18" style="23" customWidth="1"/>
    <col min="9483" max="9483" width="17.42578125" style="23" customWidth="1"/>
    <col min="9484" max="9484" width="12.42578125" style="23" customWidth="1"/>
    <col min="9485" max="9486" width="12.5703125" style="23" customWidth="1"/>
    <col min="9487" max="9729" width="9.140625" style="23"/>
    <col min="9730" max="9730" width="5.85546875" style="23" customWidth="1"/>
    <col min="9731" max="9731" width="14" style="23" customWidth="1"/>
    <col min="9732" max="9732" width="15.140625" style="23" customWidth="1"/>
    <col min="9733" max="9733" width="16.5703125" style="23" customWidth="1"/>
    <col min="9734" max="9734" width="12.42578125" style="23" customWidth="1"/>
    <col min="9735" max="9735" width="10" style="23" customWidth="1"/>
    <col min="9736" max="9736" width="10.5703125" style="23" customWidth="1"/>
    <col min="9737" max="9737" width="10.140625" style="23" customWidth="1"/>
    <col min="9738" max="9738" width="18" style="23" customWidth="1"/>
    <col min="9739" max="9739" width="17.42578125" style="23" customWidth="1"/>
    <col min="9740" max="9740" width="12.42578125" style="23" customWidth="1"/>
    <col min="9741" max="9742" width="12.5703125" style="23" customWidth="1"/>
    <col min="9743" max="9985" width="9.140625" style="23"/>
    <col min="9986" max="9986" width="5.85546875" style="23" customWidth="1"/>
    <col min="9987" max="9987" width="14" style="23" customWidth="1"/>
    <col min="9988" max="9988" width="15.140625" style="23" customWidth="1"/>
    <col min="9989" max="9989" width="16.5703125" style="23" customWidth="1"/>
    <col min="9990" max="9990" width="12.42578125" style="23" customWidth="1"/>
    <col min="9991" max="9991" width="10" style="23" customWidth="1"/>
    <col min="9992" max="9992" width="10.5703125" style="23" customWidth="1"/>
    <col min="9993" max="9993" width="10.140625" style="23" customWidth="1"/>
    <col min="9994" max="9994" width="18" style="23" customWidth="1"/>
    <col min="9995" max="9995" width="17.42578125" style="23" customWidth="1"/>
    <col min="9996" max="9996" width="12.42578125" style="23" customWidth="1"/>
    <col min="9997" max="9998" width="12.5703125" style="23" customWidth="1"/>
    <col min="9999" max="10241" width="9.140625" style="23"/>
    <col min="10242" max="10242" width="5.85546875" style="23" customWidth="1"/>
    <col min="10243" max="10243" width="14" style="23" customWidth="1"/>
    <col min="10244" max="10244" width="15.140625" style="23" customWidth="1"/>
    <col min="10245" max="10245" width="16.5703125" style="23" customWidth="1"/>
    <col min="10246" max="10246" width="12.42578125" style="23" customWidth="1"/>
    <col min="10247" max="10247" width="10" style="23" customWidth="1"/>
    <col min="10248" max="10248" width="10.5703125" style="23" customWidth="1"/>
    <col min="10249" max="10249" width="10.140625" style="23" customWidth="1"/>
    <col min="10250" max="10250" width="18" style="23" customWidth="1"/>
    <col min="10251" max="10251" width="17.42578125" style="23" customWidth="1"/>
    <col min="10252" max="10252" width="12.42578125" style="23" customWidth="1"/>
    <col min="10253" max="10254" width="12.5703125" style="23" customWidth="1"/>
    <col min="10255" max="10497" width="9.140625" style="23"/>
    <col min="10498" max="10498" width="5.85546875" style="23" customWidth="1"/>
    <col min="10499" max="10499" width="14" style="23" customWidth="1"/>
    <col min="10500" max="10500" width="15.140625" style="23" customWidth="1"/>
    <col min="10501" max="10501" width="16.5703125" style="23" customWidth="1"/>
    <col min="10502" max="10502" width="12.42578125" style="23" customWidth="1"/>
    <col min="10503" max="10503" width="10" style="23" customWidth="1"/>
    <col min="10504" max="10504" width="10.5703125" style="23" customWidth="1"/>
    <col min="10505" max="10505" width="10.140625" style="23" customWidth="1"/>
    <col min="10506" max="10506" width="18" style="23" customWidth="1"/>
    <col min="10507" max="10507" width="17.42578125" style="23" customWidth="1"/>
    <col min="10508" max="10508" width="12.42578125" style="23" customWidth="1"/>
    <col min="10509" max="10510" width="12.5703125" style="23" customWidth="1"/>
    <col min="10511" max="10753" width="9.140625" style="23"/>
    <col min="10754" max="10754" width="5.85546875" style="23" customWidth="1"/>
    <col min="10755" max="10755" width="14" style="23" customWidth="1"/>
    <col min="10756" max="10756" width="15.140625" style="23" customWidth="1"/>
    <col min="10757" max="10757" width="16.5703125" style="23" customWidth="1"/>
    <col min="10758" max="10758" width="12.42578125" style="23" customWidth="1"/>
    <col min="10759" max="10759" width="10" style="23" customWidth="1"/>
    <col min="10760" max="10760" width="10.5703125" style="23" customWidth="1"/>
    <col min="10761" max="10761" width="10.140625" style="23" customWidth="1"/>
    <col min="10762" max="10762" width="18" style="23" customWidth="1"/>
    <col min="10763" max="10763" width="17.42578125" style="23" customWidth="1"/>
    <col min="10764" max="10764" width="12.42578125" style="23" customWidth="1"/>
    <col min="10765" max="10766" width="12.5703125" style="23" customWidth="1"/>
    <col min="10767" max="11009" width="9.140625" style="23"/>
    <col min="11010" max="11010" width="5.85546875" style="23" customWidth="1"/>
    <col min="11011" max="11011" width="14" style="23" customWidth="1"/>
    <col min="11012" max="11012" width="15.140625" style="23" customWidth="1"/>
    <col min="11013" max="11013" width="16.5703125" style="23" customWidth="1"/>
    <col min="11014" max="11014" width="12.42578125" style="23" customWidth="1"/>
    <col min="11015" max="11015" width="10" style="23" customWidth="1"/>
    <col min="11016" max="11016" width="10.5703125" style="23" customWidth="1"/>
    <col min="11017" max="11017" width="10.140625" style="23" customWidth="1"/>
    <col min="11018" max="11018" width="18" style="23" customWidth="1"/>
    <col min="11019" max="11019" width="17.42578125" style="23" customWidth="1"/>
    <col min="11020" max="11020" width="12.42578125" style="23" customWidth="1"/>
    <col min="11021" max="11022" width="12.5703125" style="23" customWidth="1"/>
    <col min="11023" max="11265" width="9.140625" style="23"/>
    <col min="11266" max="11266" width="5.85546875" style="23" customWidth="1"/>
    <col min="11267" max="11267" width="14" style="23" customWidth="1"/>
    <col min="11268" max="11268" width="15.140625" style="23" customWidth="1"/>
    <col min="11269" max="11269" width="16.5703125" style="23" customWidth="1"/>
    <col min="11270" max="11270" width="12.42578125" style="23" customWidth="1"/>
    <col min="11271" max="11271" width="10" style="23" customWidth="1"/>
    <col min="11272" max="11272" width="10.5703125" style="23" customWidth="1"/>
    <col min="11273" max="11273" width="10.140625" style="23" customWidth="1"/>
    <col min="11274" max="11274" width="18" style="23" customWidth="1"/>
    <col min="11275" max="11275" width="17.42578125" style="23" customWidth="1"/>
    <col min="11276" max="11276" width="12.42578125" style="23" customWidth="1"/>
    <col min="11277" max="11278" width="12.5703125" style="23" customWidth="1"/>
    <col min="11279" max="11521" width="9.140625" style="23"/>
    <col min="11522" max="11522" width="5.85546875" style="23" customWidth="1"/>
    <col min="11523" max="11523" width="14" style="23" customWidth="1"/>
    <col min="11524" max="11524" width="15.140625" style="23" customWidth="1"/>
    <col min="11525" max="11525" width="16.5703125" style="23" customWidth="1"/>
    <col min="11526" max="11526" width="12.42578125" style="23" customWidth="1"/>
    <col min="11527" max="11527" width="10" style="23" customWidth="1"/>
    <col min="11528" max="11528" width="10.5703125" style="23" customWidth="1"/>
    <col min="11529" max="11529" width="10.140625" style="23" customWidth="1"/>
    <col min="11530" max="11530" width="18" style="23" customWidth="1"/>
    <col min="11531" max="11531" width="17.42578125" style="23" customWidth="1"/>
    <col min="11532" max="11532" width="12.42578125" style="23" customWidth="1"/>
    <col min="11533" max="11534" width="12.5703125" style="23" customWidth="1"/>
    <col min="11535" max="11777" width="9.140625" style="23"/>
    <col min="11778" max="11778" width="5.85546875" style="23" customWidth="1"/>
    <col min="11779" max="11779" width="14" style="23" customWidth="1"/>
    <col min="11780" max="11780" width="15.140625" style="23" customWidth="1"/>
    <col min="11781" max="11781" width="16.5703125" style="23" customWidth="1"/>
    <col min="11782" max="11782" width="12.42578125" style="23" customWidth="1"/>
    <col min="11783" max="11783" width="10" style="23" customWidth="1"/>
    <col min="11784" max="11784" width="10.5703125" style="23" customWidth="1"/>
    <col min="11785" max="11785" width="10.140625" style="23" customWidth="1"/>
    <col min="11786" max="11786" width="18" style="23" customWidth="1"/>
    <col min="11787" max="11787" width="17.42578125" style="23" customWidth="1"/>
    <col min="11788" max="11788" width="12.42578125" style="23" customWidth="1"/>
    <col min="11789" max="11790" width="12.5703125" style="23" customWidth="1"/>
    <col min="11791" max="12033" width="9.140625" style="23"/>
    <col min="12034" max="12034" width="5.85546875" style="23" customWidth="1"/>
    <col min="12035" max="12035" width="14" style="23" customWidth="1"/>
    <col min="12036" max="12036" width="15.140625" style="23" customWidth="1"/>
    <col min="12037" max="12037" width="16.5703125" style="23" customWidth="1"/>
    <col min="12038" max="12038" width="12.42578125" style="23" customWidth="1"/>
    <col min="12039" max="12039" width="10" style="23" customWidth="1"/>
    <col min="12040" max="12040" width="10.5703125" style="23" customWidth="1"/>
    <col min="12041" max="12041" width="10.140625" style="23" customWidth="1"/>
    <col min="12042" max="12042" width="18" style="23" customWidth="1"/>
    <col min="12043" max="12043" width="17.42578125" style="23" customWidth="1"/>
    <col min="12044" max="12044" width="12.42578125" style="23" customWidth="1"/>
    <col min="12045" max="12046" width="12.5703125" style="23" customWidth="1"/>
    <col min="12047" max="12289" width="9.140625" style="23"/>
    <col min="12290" max="12290" width="5.85546875" style="23" customWidth="1"/>
    <col min="12291" max="12291" width="14" style="23" customWidth="1"/>
    <col min="12292" max="12292" width="15.140625" style="23" customWidth="1"/>
    <col min="12293" max="12293" width="16.5703125" style="23" customWidth="1"/>
    <col min="12294" max="12294" width="12.42578125" style="23" customWidth="1"/>
    <col min="12295" max="12295" width="10" style="23" customWidth="1"/>
    <col min="12296" max="12296" width="10.5703125" style="23" customWidth="1"/>
    <col min="12297" max="12297" width="10.140625" style="23" customWidth="1"/>
    <col min="12298" max="12298" width="18" style="23" customWidth="1"/>
    <col min="12299" max="12299" width="17.42578125" style="23" customWidth="1"/>
    <col min="12300" max="12300" width="12.42578125" style="23" customWidth="1"/>
    <col min="12301" max="12302" width="12.5703125" style="23" customWidth="1"/>
    <col min="12303" max="12545" width="9.140625" style="23"/>
    <col min="12546" max="12546" width="5.85546875" style="23" customWidth="1"/>
    <col min="12547" max="12547" width="14" style="23" customWidth="1"/>
    <col min="12548" max="12548" width="15.140625" style="23" customWidth="1"/>
    <col min="12549" max="12549" width="16.5703125" style="23" customWidth="1"/>
    <col min="12550" max="12550" width="12.42578125" style="23" customWidth="1"/>
    <col min="12551" max="12551" width="10" style="23" customWidth="1"/>
    <col min="12552" max="12552" width="10.5703125" style="23" customWidth="1"/>
    <col min="12553" max="12553" width="10.140625" style="23" customWidth="1"/>
    <col min="12554" max="12554" width="18" style="23" customWidth="1"/>
    <col min="12555" max="12555" width="17.42578125" style="23" customWidth="1"/>
    <col min="12556" max="12556" width="12.42578125" style="23" customWidth="1"/>
    <col min="12557" max="12558" width="12.5703125" style="23" customWidth="1"/>
    <col min="12559" max="12801" width="9.140625" style="23"/>
    <col min="12802" max="12802" width="5.85546875" style="23" customWidth="1"/>
    <col min="12803" max="12803" width="14" style="23" customWidth="1"/>
    <col min="12804" max="12804" width="15.140625" style="23" customWidth="1"/>
    <col min="12805" max="12805" width="16.5703125" style="23" customWidth="1"/>
    <col min="12806" max="12806" width="12.42578125" style="23" customWidth="1"/>
    <col min="12807" max="12807" width="10" style="23" customWidth="1"/>
    <col min="12808" max="12808" width="10.5703125" style="23" customWidth="1"/>
    <col min="12809" max="12809" width="10.140625" style="23" customWidth="1"/>
    <col min="12810" max="12810" width="18" style="23" customWidth="1"/>
    <col min="12811" max="12811" width="17.42578125" style="23" customWidth="1"/>
    <col min="12812" max="12812" width="12.42578125" style="23" customWidth="1"/>
    <col min="12813" max="12814" width="12.5703125" style="23" customWidth="1"/>
    <col min="12815" max="13057" width="9.140625" style="23"/>
    <col min="13058" max="13058" width="5.85546875" style="23" customWidth="1"/>
    <col min="13059" max="13059" width="14" style="23" customWidth="1"/>
    <col min="13060" max="13060" width="15.140625" style="23" customWidth="1"/>
    <col min="13061" max="13061" width="16.5703125" style="23" customWidth="1"/>
    <col min="13062" max="13062" width="12.42578125" style="23" customWidth="1"/>
    <col min="13063" max="13063" width="10" style="23" customWidth="1"/>
    <col min="13064" max="13064" width="10.5703125" style="23" customWidth="1"/>
    <col min="13065" max="13065" width="10.140625" style="23" customWidth="1"/>
    <col min="13066" max="13066" width="18" style="23" customWidth="1"/>
    <col min="13067" max="13067" width="17.42578125" style="23" customWidth="1"/>
    <col min="13068" max="13068" width="12.42578125" style="23" customWidth="1"/>
    <col min="13069" max="13070" width="12.5703125" style="23" customWidth="1"/>
    <col min="13071" max="13313" width="9.140625" style="23"/>
    <col min="13314" max="13314" width="5.85546875" style="23" customWidth="1"/>
    <col min="13315" max="13315" width="14" style="23" customWidth="1"/>
    <col min="13316" max="13316" width="15.140625" style="23" customWidth="1"/>
    <col min="13317" max="13317" width="16.5703125" style="23" customWidth="1"/>
    <col min="13318" max="13318" width="12.42578125" style="23" customWidth="1"/>
    <col min="13319" max="13319" width="10" style="23" customWidth="1"/>
    <col min="13320" max="13320" width="10.5703125" style="23" customWidth="1"/>
    <col min="13321" max="13321" width="10.140625" style="23" customWidth="1"/>
    <col min="13322" max="13322" width="18" style="23" customWidth="1"/>
    <col min="13323" max="13323" width="17.42578125" style="23" customWidth="1"/>
    <col min="13324" max="13324" width="12.42578125" style="23" customWidth="1"/>
    <col min="13325" max="13326" width="12.5703125" style="23" customWidth="1"/>
    <col min="13327" max="13569" width="9.140625" style="23"/>
    <col min="13570" max="13570" width="5.85546875" style="23" customWidth="1"/>
    <col min="13571" max="13571" width="14" style="23" customWidth="1"/>
    <col min="13572" max="13572" width="15.140625" style="23" customWidth="1"/>
    <col min="13573" max="13573" width="16.5703125" style="23" customWidth="1"/>
    <col min="13574" max="13574" width="12.42578125" style="23" customWidth="1"/>
    <col min="13575" max="13575" width="10" style="23" customWidth="1"/>
    <col min="13576" max="13576" width="10.5703125" style="23" customWidth="1"/>
    <col min="13577" max="13577" width="10.140625" style="23" customWidth="1"/>
    <col min="13578" max="13578" width="18" style="23" customWidth="1"/>
    <col min="13579" max="13579" width="17.42578125" style="23" customWidth="1"/>
    <col min="13580" max="13580" width="12.42578125" style="23" customWidth="1"/>
    <col min="13581" max="13582" width="12.5703125" style="23" customWidth="1"/>
    <col min="13583" max="13825" width="9.140625" style="23"/>
    <col min="13826" max="13826" width="5.85546875" style="23" customWidth="1"/>
    <col min="13827" max="13827" width="14" style="23" customWidth="1"/>
    <col min="13828" max="13828" width="15.140625" style="23" customWidth="1"/>
    <col min="13829" max="13829" width="16.5703125" style="23" customWidth="1"/>
    <col min="13830" max="13830" width="12.42578125" style="23" customWidth="1"/>
    <col min="13831" max="13831" width="10" style="23" customWidth="1"/>
    <col min="13832" max="13832" width="10.5703125" style="23" customWidth="1"/>
    <col min="13833" max="13833" width="10.140625" style="23" customWidth="1"/>
    <col min="13834" max="13834" width="18" style="23" customWidth="1"/>
    <col min="13835" max="13835" width="17.42578125" style="23" customWidth="1"/>
    <col min="13836" max="13836" width="12.42578125" style="23" customWidth="1"/>
    <col min="13837" max="13838" width="12.5703125" style="23" customWidth="1"/>
    <col min="13839" max="14081" width="9.140625" style="23"/>
    <col min="14082" max="14082" width="5.85546875" style="23" customWidth="1"/>
    <col min="14083" max="14083" width="14" style="23" customWidth="1"/>
    <col min="14084" max="14084" width="15.140625" style="23" customWidth="1"/>
    <col min="14085" max="14085" width="16.5703125" style="23" customWidth="1"/>
    <col min="14086" max="14086" width="12.42578125" style="23" customWidth="1"/>
    <col min="14087" max="14087" width="10" style="23" customWidth="1"/>
    <col min="14088" max="14088" width="10.5703125" style="23" customWidth="1"/>
    <col min="14089" max="14089" width="10.140625" style="23" customWidth="1"/>
    <col min="14090" max="14090" width="18" style="23" customWidth="1"/>
    <col min="14091" max="14091" width="17.42578125" style="23" customWidth="1"/>
    <col min="14092" max="14092" width="12.42578125" style="23" customWidth="1"/>
    <col min="14093" max="14094" width="12.5703125" style="23" customWidth="1"/>
    <col min="14095" max="14337" width="9.140625" style="23"/>
    <col min="14338" max="14338" width="5.85546875" style="23" customWidth="1"/>
    <col min="14339" max="14339" width="14" style="23" customWidth="1"/>
    <col min="14340" max="14340" width="15.140625" style="23" customWidth="1"/>
    <col min="14341" max="14341" width="16.5703125" style="23" customWidth="1"/>
    <col min="14342" max="14342" width="12.42578125" style="23" customWidth="1"/>
    <col min="14343" max="14343" width="10" style="23" customWidth="1"/>
    <col min="14344" max="14344" width="10.5703125" style="23" customWidth="1"/>
    <col min="14345" max="14345" width="10.140625" style="23" customWidth="1"/>
    <col min="14346" max="14346" width="18" style="23" customWidth="1"/>
    <col min="14347" max="14347" width="17.42578125" style="23" customWidth="1"/>
    <col min="14348" max="14348" width="12.42578125" style="23" customWidth="1"/>
    <col min="14349" max="14350" width="12.5703125" style="23" customWidth="1"/>
    <col min="14351" max="14593" width="9.140625" style="23"/>
    <col min="14594" max="14594" width="5.85546875" style="23" customWidth="1"/>
    <col min="14595" max="14595" width="14" style="23" customWidth="1"/>
    <col min="14596" max="14596" width="15.140625" style="23" customWidth="1"/>
    <col min="14597" max="14597" width="16.5703125" style="23" customWidth="1"/>
    <col min="14598" max="14598" width="12.42578125" style="23" customWidth="1"/>
    <col min="14599" max="14599" width="10" style="23" customWidth="1"/>
    <col min="14600" max="14600" width="10.5703125" style="23" customWidth="1"/>
    <col min="14601" max="14601" width="10.140625" style="23" customWidth="1"/>
    <col min="14602" max="14602" width="18" style="23" customWidth="1"/>
    <col min="14603" max="14603" width="17.42578125" style="23" customWidth="1"/>
    <col min="14604" max="14604" width="12.42578125" style="23" customWidth="1"/>
    <col min="14605" max="14606" width="12.5703125" style="23" customWidth="1"/>
    <col min="14607" max="14849" width="9.140625" style="23"/>
    <col min="14850" max="14850" width="5.85546875" style="23" customWidth="1"/>
    <col min="14851" max="14851" width="14" style="23" customWidth="1"/>
    <col min="14852" max="14852" width="15.140625" style="23" customWidth="1"/>
    <col min="14853" max="14853" width="16.5703125" style="23" customWidth="1"/>
    <col min="14854" max="14854" width="12.42578125" style="23" customWidth="1"/>
    <col min="14855" max="14855" width="10" style="23" customWidth="1"/>
    <col min="14856" max="14856" width="10.5703125" style="23" customWidth="1"/>
    <col min="14857" max="14857" width="10.140625" style="23" customWidth="1"/>
    <col min="14858" max="14858" width="18" style="23" customWidth="1"/>
    <col min="14859" max="14859" width="17.42578125" style="23" customWidth="1"/>
    <col min="14860" max="14860" width="12.42578125" style="23" customWidth="1"/>
    <col min="14861" max="14862" width="12.5703125" style="23" customWidth="1"/>
    <col min="14863" max="15105" width="9.140625" style="23"/>
    <col min="15106" max="15106" width="5.85546875" style="23" customWidth="1"/>
    <col min="15107" max="15107" width="14" style="23" customWidth="1"/>
    <col min="15108" max="15108" width="15.140625" style="23" customWidth="1"/>
    <col min="15109" max="15109" width="16.5703125" style="23" customWidth="1"/>
    <col min="15110" max="15110" width="12.42578125" style="23" customWidth="1"/>
    <col min="15111" max="15111" width="10" style="23" customWidth="1"/>
    <col min="15112" max="15112" width="10.5703125" style="23" customWidth="1"/>
    <col min="15113" max="15113" width="10.140625" style="23" customWidth="1"/>
    <col min="15114" max="15114" width="18" style="23" customWidth="1"/>
    <col min="15115" max="15115" width="17.42578125" style="23" customWidth="1"/>
    <col min="15116" max="15116" width="12.42578125" style="23" customWidth="1"/>
    <col min="15117" max="15118" width="12.5703125" style="23" customWidth="1"/>
    <col min="15119" max="15361" width="9.140625" style="23"/>
    <col min="15362" max="15362" width="5.85546875" style="23" customWidth="1"/>
    <col min="15363" max="15363" width="14" style="23" customWidth="1"/>
    <col min="15364" max="15364" width="15.140625" style="23" customWidth="1"/>
    <col min="15365" max="15365" width="16.5703125" style="23" customWidth="1"/>
    <col min="15366" max="15366" width="12.42578125" style="23" customWidth="1"/>
    <col min="15367" max="15367" width="10" style="23" customWidth="1"/>
    <col min="15368" max="15368" width="10.5703125" style="23" customWidth="1"/>
    <col min="15369" max="15369" width="10.140625" style="23" customWidth="1"/>
    <col min="15370" max="15370" width="18" style="23" customWidth="1"/>
    <col min="15371" max="15371" width="17.42578125" style="23" customWidth="1"/>
    <col min="15372" max="15372" width="12.42578125" style="23" customWidth="1"/>
    <col min="15373" max="15374" width="12.5703125" style="23" customWidth="1"/>
    <col min="15375" max="15617" width="9.140625" style="23"/>
    <col min="15618" max="15618" width="5.85546875" style="23" customWidth="1"/>
    <col min="15619" max="15619" width="14" style="23" customWidth="1"/>
    <col min="15620" max="15620" width="15.140625" style="23" customWidth="1"/>
    <col min="15621" max="15621" width="16.5703125" style="23" customWidth="1"/>
    <col min="15622" max="15622" width="12.42578125" style="23" customWidth="1"/>
    <col min="15623" max="15623" width="10" style="23" customWidth="1"/>
    <col min="15624" max="15624" width="10.5703125" style="23" customWidth="1"/>
    <col min="15625" max="15625" width="10.140625" style="23" customWidth="1"/>
    <col min="15626" max="15626" width="18" style="23" customWidth="1"/>
    <col min="15627" max="15627" width="17.42578125" style="23" customWidth="1"/>
    <col min="15628" max="15628" width="12.42578125" style="23" customWidth="1"/>
    <col min="15629" max="15630" width="12.5703125" style="23" customWidth="1"/>
    <col min="15631" max="15873" width="9.140625" style="23"/>
    <col min="15874" max="15874" width="5.85546875" style="23" customWidth="1"/>
    <col min="15875" max="15875" width="14" style="23" customWidth="1"/>
    <col min="15876" max="15876" width="15.140625" style="23" customWidth="1"/>
    <col min="15877" max="15877" width="16.5703125" style="23" customWidth="1"/>
    <col min="15878" max="15878" width="12.42578125" style="23" customWidth="1"/>
    <col min="15879" max="15879" width="10" style="23" customWidth="1"/>
    <col min="15880" max="15880" width="10.5703125" style="23" customWidth="1"/>
    <col min="15881" max="15881" width="10.140625" style="23" customWidth="1"/>
    <col min="15882" max="15882" width="18" style="23" customWidth="1"/>
    <col min="15883" max="15883" width="17.42578125" style="23" customWidth="1"/>
    <col min="15884" max="15884" width="12.42578125" style="23" customWidth="1"/>
    <col min="15885" max="15886" width="12.5703125" style="23" customWidth="1"/>
    <col min="15887" max="16129" width="9.140625" style="23"/>
    <col min="16130" max="16130" width="5.85546875" style="23" customWidth="1"/>
    <col min="16131" max="16131" width="14" style="23" customWidth="1"/>
    <col min="16132" max="16132" width="15.140625" style="23" customWidth="1"/>
    <col min="16133" max="16133" width="16.5703125" style="23" customWidth="1"/>
    <col min="16134" max="16134" width="12.42578125" style="23" customWidth="1"/>
    <col min="16135" max="16135" width="10" style="23" customWidth="1"/>
    <col min="16136" max="16136" width="10.5703125" style="23" customWidth="1"/>
    <col min="16137" max="16137" width="10.140625" style="23" customWidth="1"/>
    <col min="16138" max="16138" width="18" style="23" customWidth="1"/>
    <col min="16139" max="16139" width="17.42578125" style="23" customWidth="1"/>
    <col min="16140" max="16140" width="12.42578125" style="23" customWidth="1"/>
    <col min="16141" max="16142" width="12.5703125" style="23" customWidth="1"/>
    <col min="16143" max="16384" width="9.140625" style="23"/>
  </cols>
  <sheetData>
    <row r="1" spans="1:15" ht="44.25" customHeight="1" thickTop="1" thickBot="1" x14ac:dyDescent="0.3">
      <c r="A1" s="559" t="s">
        <v>1382</v>
      </c>
      <c r="B1" s="559"/>
      <c r="C1" s="559"/>
      <c r="D1" s="559"/>
      <c r="E1" s="559"/>
      <c r="F1" s="559"/>
      <c r="G1" s="559"/>
      <c r="H1" s="559"/>
      <c r="I1" s="559"/>
      <c r="J1" s="560"/>
      <c r="K1" s="560"/>
      <c r="L1" s="560"/>
      <c r="M1" s="560"/>
      <c r="N1" s="559"/>
    </row>
    <row r="2" spans="1:15" ht="16.5" customHeight="1" thickTop="1" thickBot="1" x14ac:dyDescent="0.3">
      <c r="A2" s="557" t="s">
        <v>2</v>
      </c>
      <c r="B2" s="557" t="s">
        <v>0</v>
      </c>
      <c r="C2" s="557" t="s">
        <v>48</v>
      </c>
      <c r="D2" s="557" t="s">
        <v>37</v>
      </c>
      <c r="E2" s="557" t="s">
        <v>3</v>
      </c>
      <c r="F2" s="561" t="s">
        <v>116</v>
      </c>
      <c r="G2" s="555" t="s">
        <v>4</v>
      </c>
      <c r="H2" s="555" t="s">
        <v>5</v>
      </c>
      <c r="I2" s="555" t="s">
        <v>819</v>
      </c>
      <c r="J2" s="549" t="s">
        <v>739</v>
      </c>
      <c r="K2" s="176" t="s">
        <v>633</v>
      </c>
      <c r="L2" s="176" t="s">
        <v>636</v>
      </c>
      <c r="M2" s="216" t="s">
        <v>635</v>
      </c>
      <c r="N2" s="557" t="s">
        <v>35</v>
      </c>
    </row>
    <row r="3" spans="1:15" ht="42" customHeight="1" thickTop="1" thickBot="1" x14ac:dyDescent="0.3">
      <c r="A3" s="558"/>
      <c r="B3" s="558"/>
      <c r="C3" s="558"/>
      <c r="D3" s="558"/>
      <c r="E3" s="558"/>
      <c r="F3" s="562"/>
      <c r="G3" s="556"/>
      <c r="H3" s="556"/>
      <c r="I3" s="556"/>
      <c r="J3" s="549"/>
      <c r="K3" s="182"/>
      <c r="L3" s="182"/>
      <c r="M3" s="217"/>
      <c r="N3" s="558"/>
    </row>
    <row r="4" spans="1:15" s="94" customFormat="1" ht="113.25" customHeight="1" thickTop="1" thickBot="1" x14ac:dyDescent="0.3">
      <c r="A4" s="126">
        <v>62</v>
      </c>
      <c r="B4" s="121" t="s">
        <v>26</v>
      </c>
      <c r="C4" s="121" t="s">
        <v>232</v>
      </c>
      <c r="D4" s="121" t="s">
        <v>233</v>
      </c>
      <c r="E4" s="120" t="s">
        <v>234</v>
      </c>
      <c r="F4" s="124">
        <v>150000</v>
      </c>
      <c r="G4" s="121" t="s">
        <v>149</v>
      </c>
      <c r="H4" s="121" t="s">
        <v>157</v>
      </c>
      <c r="I4" s="121" t="s">
        <v>235</v>
      </c>
      <c r="J4" s="158" t="s">
        <v>663</v>
      </c>
      <c r="K4" s="158" t="s">
        <v>649</v>
      </c>
      <c r="L4" s="158" t="s">
        <v>639</v>
      </c>
      <c r="M4" s="218">
        <v>0</v>
      </c>
      <c r="N4" s="121" t="s">
        <v>179</v>
      </c>
      <c r="O4" s="13"/>
    </row>
    <row r="5" spans="1:15" s="13" customFormat="1" ht="113.25" customHeight="1" thickTop="1" thickBot="1" x14ac:dyDescent="0.3">
      <c r="A5" s="126">
        <v>62</v>
      </c>
      <c r="B5" s="121" t="s">
        <v>26</v>
      </c>
      <c r="C5" s="121" t="s">
        <v>232</v>
      </c>
      <c r="D5" s="121" t="s">
        <v>585</v>
      </c>
      <c r="E5" s="120" t="s">
        <v>236</v>
      </c>
      <c r="F5" s="124">
        <v>1500000</v>
      </c>
      <c r="G5" s="121" t="s">
        <v>149</v>
      </c>
      <c r="H5" s="121" t="s">
        <v>157</v>
      </c>
      <c r="I5" s="121" t="s">
        <v>235</v>
      </c>
      <c r="J5" s="158" t="s">
        <v>663</v>
      </c>
      <c r="K5" s="157" t="s">
        <v>733</v>
      </c>
      <c r="L5" s="158" t="s">
        <v>639</v>
      </c>
      <c r="M5" s="218">
        <v>0</v>
      </c>
      <c r="N5" s="121" t="s">
        <v>179</v>
      </c>
    </row>
    <row r="6" spans="1:15" s="94" customFormat="1" ht="101.25" customHeight="1" thickTop="1" thickBot="1" x14ac:dyDescent="0.3">
      <c r="A6" s="126">
        <v>62</v>
      </c>
      <c r="B6" s="121" t="s">
        <v>26</v>
      </c>
      <c r="C6" s="121" t="s">
        <v>232</v>
      </c>
      <c r="D6" s="121" t="s">
        <v>523</v>
      </c>
      <c r="E6" s="120" t="s">
        <v>237</v>
      </c>
      <c r="F6" s="124">
        <v>2000000</v>
      </c>
      <c r="G6" s="121" t="s">
        <v>149</v>
      </c>
      <c r="H6" s="121" t="s">
        <v>157</v>
      </c>
      <c r="I6" s="121" t="s">
        <v>522</v>
      </c>
      <c r="J6" s="158" t="s">
        <v>664</v>
      </c>
      <c r="K6" s="157" t="s">
        <v>733</v>
      </c>
      <c r="L6" s="158" t="s">
        <v>640</v>
      </c>
      <c r="M6" s="218">
        <v>0</v>
      </c>
      <c r="N6" s="121" t="s">
        <v>179</v>
      </c>
      <c r="O6" s="13"/>
    </row>
    <row r="7" spans="1:15" s="94" customFormat="1" ht="66.75" customHeight="1" thickTop="1" thickBot="1" x14ac:dyDescent="0.3">
      <c r="A7" s="126">
        <v>29</v>
      </c>
      <c r="B7" s="121" t="s">
        <v>26</v>
      </c>
      <c r="C7" s="121" t="s">
        <v>238</v>
      </c>
      <c r="D7" s="121" t="s">
        <v>534</v>
      </c>
      <c r="E7" s="120" t="s">
        <v>342</v>
      </c>
      <c r="F7" s="124">
        <v>1500000</v>
      </c>
      <c r="G7" s="121" t="s">
        <v>149</v>
      </c>
      <c r="H7" s="121" t="s">
        <v>533</v>
      </c>
      <c r="I7" s="121" t="s">
        <v>532</v>
      </c>
      <c r="J7" s="158" t="s">
        <v>665</v>
      </c>
      <c r="K7" s="157" t="s">
        <v>733</v>
      </c>
      <c r="L7" s="158" t="s">
        <v>641</v>
      </c>
      <c r="M7" s="218">
        <v>0</v>
      </c>
      <c r="N7" s="121" t="s">
        <v>179</v>
      </c>
      <c r="O7" s="13"/>
    </row>
    <row r="8" spans="1:15" s="94" customFormat="1" ht="90.75" thickTop="1" thickBot="1" x14ac:dyDescent="0.3">
      <c r="A8" s="126">
        <v>29</v>
      </c>
      <c r="B8" s="121" t="s">
        <v>26</v>
      </c>
      <c r="C8" s="121" t="s">
        <v>238</v>
      </c>
      <c r="D8" s="121" t="s">
        <v>535</v>
      </c>
      <c r="E8" s="120" t="s">
        <v>239</v>
      </c>
      <c r="F8" s="124">
        <v>300000</v>
      </c>
      <c r="G8" s="121" t="s">
        <v>149</v>
      </c>
      <c r="H8" s="121" t="s">
        <v>533</v>
      </c>
      <c r="I8" s="121" t="s">
        <v>532</v>
      </c>
      <c r="J8" s="158" t="s">
        <v>666</v>
      </c>
      <c r="K8" s="157" t="s">
        <v>733</v>
      </c>
      <c r="L8" s="158" t="s">
        <v>642</v>
      </c>
      <c r="M8" s="218">
        <v>0</v>
      </c>
      <c r="N8" s="121" t="s">
        <v>179</v>
      </c>
      <c r="O8" s="13"/>
    </row>
    <row r="9" spans="1:15" s="94" customFormat="1" ht="63" customHeight="1" thickTop="1" thickBot="1" x14ac:dyDescent="0.3">
      <c r="A9" s="126">
        <v>29</v>
      </c>
      <c r="B9" s="121" t="s">
        <v>26</v>
      </c>
      <c r="C9" s="121" t="s">
        <v>238</v>
      </c>
      <c r="D9" s="121" t="s">
        <v>525</v>
      </c>
      <c r="E9" s="120" t="s">
        <v>240</v>
      </c>
      <c r="F9" s="124">
        <v>35000</v>
      </c>
      <c r="G9" s="121" t="s">
        <v>149</v>
      </c>
      <c r="H9" s="121" t="s">
        <v>171</v>
      </c>
      <c r="I9" s="121" t="s">
        <v>524</v>
      </c>
      <c r="J9" s="158" t="s">
        <v>667</v>
      </c>
      <c r="K9" s="157" t="s">
        <v>733</v>
      </c>
      <c r="L9" s="158" t="s">
        <v>641</v>
      </c>
      <c r="M9" s="218">
        <v>0</v>
      </c>
      <c r="N9" s="121" t="s">
        <v>179</v>
      </c>
      <c r="O9" s="13"/>
    </row>
    <row r="10" spans="1:15" s="94" customFormat="1" ht="78" thickTop="1" thickBot="1" x14ac:dyDescent="0.3">
      <c r="A10" s="126">
        <v>29</v>
      </c>
      <c r="B10" s="121" t="s">
        <v>26</v>
      </c>
      <c r="C10" s="121" t="s">
        <v>238</v>
      </c>
      <c r="D10" s="121" t="s">
        <v>537</v>
      </c>
      <c r="E10" s="120" t="s">
        <v>345</v>
      </c>
      <c r="F10" s="124">
        <v>1200000</v>
      </c>
      <c r="G10" s="121" t="s">
        <v>149</v>
      </c>
      <c r="H10" s="121" t="s">
        <v>157</v>
      </c>
      <c r="I10" s="121" t="s">
        <v>536</v>
      </c>
      <c r="J10" s="158" t="s">
        <v>668</v>
      </c>
      <c r="K10" s="157" t="s">
        <v>733</v>
      </c>
      <c r="L10" s="158" t="s">
        <v>639</v>
      </c>
      <c r="M10" s="218">
        <v>0</v>
      </c>
      <c r="N10" s="121" t="s">
        <v>179</v>
      </c>
      <c r="O10" s="13"/>
    </row>
    <row r="11" spans="1:15" s="94" customFormat="1" ht="84.75" customHeight="1" thickTop="1" thickBot="1" x14ac:dyDescent="0.3">
      <c r="A11" s="126">
        <v>29</v>
      </c>
      <c r="B11" s="121" t="s">
        <v>26</v>
      </c>
      <c r="C11" s="121" t="s">
        <v>238</v>
      </c>
      <c r="D11" s="121" t="s">
        <v>526</v>
      </c>
      <c r="E11" s="120" t="s">
        <v>241</v>
      </c>
      <c r="F11" s="124">
        <v>6500000</v>
      </c>
      <c r="G11" s="121" t="s">
        <v>149</v>
      </c>
      <c r="H11" s="121" t="s">
        <v>157</v>
      </c>
      <c r="I11" s="121" t="s">
        <v>539</v>
      </c>
      <c r="J11" s="158" t="s">
        <v>663</v>
      </c>
      <c r="K11" s="157" t="s">
        <v>733</v>
      </c>
      <c r="L11" s="158" t="s">
        <v>639</v>
      </c>
      <c r="M11" s="218" t="s">
        <v>833</v>
      </c>
      <c r="N11" s="121" t="s">
        <v>179</v>
      </c>
      <c r="O11" s="13"/>
    </row>
    <row r="12" spans="1:15" s="94" customFormat="1" ht="100.5" customHeight="1" thickTop="1" thickBot="1" x14ac:dyDescent="0.3">
      <c r="A12" s="126">
        <v>29</v>
      </c>
      <c r="B12" s="121" t="s">
        <v>26</v>
      </c>
      <c r="C12" s="121" t="s">
        <v>238</v>
      </c>
      <c r="D12" s="121" t="s">
        <v>527</v>
      </c>
      <c r="E12" s="120" t="s">
        <v>243</v>
      </c>
      <c r="F12" s="124">
        <v>6500000</v>
      </c>
      <c r="G12" s="121" t="s">
        <v>149</v>
      </c>
      <c r="H12" s="121" t="s">
        <v>157</v>
      </c>
      <c r="I12" s="121" t="s">
        <v>539</v>
      </c>
      <c r="J12" s="158" t="s">
        <v>663</v>
      </c>
      <c r="K12" s="157" t="s">
        <v>733</v>
      </c>
      <c r="L12" s="158" t="s">
        <v>639</v>
      </c>
      <c r="M12" s="218">
        <v>0</v>
      </c>
      <c r="N12" s="121" t="s">
        <v>179</v>
      </c>
      <c r="O12" s="13"/>
    </row>
    <row r="13" spans="1:15" s="94" customFormat="1" ht="78" thickTop="1" thickBot="1" x14ac:dyDescent="0.3">
      <c r="A13" s="126">
        <v>29</v>
      </c>
      <c r="B13" s="121" t="s">
        <v>26</v>
      </c>
      <c r="C13" s="121" t="s">
        <v>238</v>
      </c>
      <c r="D13" s="121" t="s">
        <v>244</v>
      </c>
      <c r="E13" s="120" t="s">
        <v>245</v>
      </c>
      <c r="F13" s="124">
        <v>3200000</v>
      </c>
      <c r="G13" s="121" t="s">
        <v>149</v>
      </c>
      <c r="H13" s="121" t="s">
        <v>157</v>
      </c>
      <c r="I13" s="121" t="s">
        <v>539</v>
      </c>
      <c r="J13" s="158" t="s">
        <v>663</v>
      </c>
      <c r="K13" s="157" t="s">
        <v>733</v>
      </c>
      <c r="L13" s="158" t="s">
        <v>639</v>
      </c>
      <c r="M13" s="218" t="s">
        <v>832</v>
      </c>
      <c r="N13" s="121" t="s">
        <v>179</v>
      </c>
      <c r="O13" s="13"/>
    </row>
    <row r="14" spans="1:15" s="94" customFormat="1" ht="94.5" customHeight="1" thickTop="1" thickBot="1" x14ac:dyDescent="0.3">
      <c r="A14" s="126">
        <v>29</v>
      </c>
      <c r="B14" s="121" t="s">
        <v>26</v>
      </c>
      <c r="C14" s="121" t="s">
        <v>238</v>
      </c>
      <c r="D14" s="121" t="s">
        <v>528</v>
      </c>
      <c r="E14" s="120" t="s">
        <v>246</v>
      </c>
      <c r="F14" s="124">
        <v>6550000</v>
      </c>
      <c r="G14" s="121" t="s">
        <v>149</v>
      </c>
      <c r="H14" s="121" t="s">
        <v>157</v>
      </c>
      <c r="I14" s="121" t="s">
        <v>539</v>
      </c>
      <c r="J14" s="158" t="s">
        <v>663</v>
      </c>
      <c r="K14" s="157" t="s">
        <v>733</v>
      </c>
      <c r="L14" s="158" t="s">
        <v>639</v>
      </c>
      <c r="M14" s="218" t="s">
        <v>831</v>
      </c>
      <c r="N14" s="121" t="s">
        <v>179</v>
      </c>
      <c r="O14" s="13"/>
    </row>
    <row r="15" spans="1:15" s="94" customFormat="1" ht="57.75" customHeight="1" thickTop="1" thickBot="1" x14ac:dyDescent="0.3">
      <c r="A15" s="126">
        <v>29</v>
      </c>
      <c r="B15" s="121" t="s">
        <v>26</v>
      </c>
      <c r="C15" s="121" t="s">
        <v>238</v>
      </c>
      <c r="D15" s="121" t="s">
        <v>538</v>
      </c>
      <c r="E15" s="120" t="s">
        <v>247</v>
      </c>
      <c r="F15" s="124">
        <f>680000+700000</f>
        <v>1380000</v>
      </c>
      <c r="G15" s="121" t="s">
        <v>149</v>
      </c>
      <c r="H15" s="121" t="s">
        <v>533</v>
      </c>
      <c r="I15" s="121" t="s">
        <v>532</v>
      </c>
      <c r="J15" s="158" t="s">
        <v>669</v>
      </c>
      <c r="K15" s="157" t="s">
        <v>733</v>
      </c>
      <c r="L15" s="158" t="s">
        <v>642</v>
      </c>
      <c r="M15" s="218">
        <v>0</v>
      </c>
      <c r="N15" s="121" t="s">
        <v>179</v>
      </c>
      <c r="O15" s="13"/>
    </row>
    <row r="16" spans="1:15" s="94" customFormat="1" ht="69.75" customHeight="1" thickTop="1" thickBot="1" x14ac:dyDescent="0.3">
      <c r="A16" s="126">
        <v>29</v>
      </c>
      <c r="B16" s="121" t="s">
        <v>26</v>
      </c>
      <c r="C16" s="121" t="s">
        <v>238</v>
      </c>
      <c r="D16" s="121" t="s">
        <v>248</v>
      </c>
      <c r="E16" s="120" t="s">
        <v>249</v>
      </c>
      <c r="F16" s="124">
        <v>5500000</v>
      </c>
      <c r="G16" s="121" t="s">
        <v>149</v>
      </c>
      <c r="H16" s="121" t="s">
        <v>157</v>
      </c>
      <c r="I16" s="121" t="s">
        <v>539</v>
      </c>
      <c r="J16" s="158" t="s">
        <v>663</v>
      </c>
      <c r="K16" s="157" t="s">
        <v>733</v>
      </c>
      <c r="L16" s="158" t="s">
        <v>639</v>
      </c>
      <c r="M16" s="218" t="s">
        <v>834</v>
      </c>
      <c r="N16" s="121" t="s">
        <v>179</v>
      </c>
      <c r="O16" s="13"/>
    </row>
    <row r="17" spans="1:15" s="94" customFormat="1" ht="72" customHeight="1" thickTop="1" thickBot="1" x14ac:dyDescent="0.3">
      <c r="A17" s="126">
        <v>29</v>
      </c>
      <c r="B17" s="121" t="s">
        <v>26</v>
      </c>
      <c r="C17" s="121" t="s">
        <v>238</v>
      </c>
      <c r="D17" s="121" t="s">
        <v>250</v>
      </c>
      <c r="E17" s="120" t="s">
        <v>251</v>
      </c>
      <c r="F17" s="124">
        <v>5500000</v>
      </c>
      <c r="G17" s="121" t="s">
        <v>149</v>
      </c>
      <c r="H17" s="121" t="s">
        <v>157</v>
      </c>
      <c r="I17" s="121" t="s">
        <v>539</v>
      </c>
      <c r="J17" s="158" t="s">
        <v>663</v>
      </c>
      <c r="K17" s="157" t="s">
        <v>733</v>
      </c>
      <c r="L17" s="158" t="s">
        <v>639</v>
      </c>
      <c r="M17" s="218">
        <v>0</v>
      </c>
      <c r="N17" s="121" t="s">
        <v>179</v>
      </c>
      <c r="O17" s="13"/>
    </row>
    <row r="18" spans="1:15" s="94" customFormat="1" ht="70.5" customHeight="1" thickTop="1" thickBot="1" x14ac:dyDescent="0.3">
      <c r="A18" s="126">
        <v>29</v>
      </c>
      <c r="B18" s="121" t="s">
        <v>26</v>
      </c>
      <c r="C18" s="121" t="s">
        <v>238</v>
      </c>
      <c r="D18" s="121" t="s">
        <v>529</v>
      </c>
      <c r="E18" s="120" t="s">
        <v>130</v>
      </c>
      <c r="F18" s="124">
        <v>28000</v>
      </c>
      <c r="G18" s="121" t="s">
        <v>149</v>
      </c>
      <c r="H18" s="121" t="s">
        <v>171</v>
      </c>
      <c r="I18" s="121" t="s">
        <v>524</v>
      </c>
      <c r="J18" s="158" t="s">
        <v>1</v>
      </c>
      <c r="K18" s="158" t="s">
        <v>1</v>
      </c>
      <c r="L18" s="158" t="s">
        <v>1</v>
      </c>
      <c r="M18" s="218">
        <v>0</v>
      </c>
      <c r="N18" s="121" t="s">
        <v>179</v>
      </c>
      <c r="O18" s="13"/>
    </row>
    <row r="19" spans="1:15" s="94" customFormat="1" ht="71.25" customHeight="1" thickTop="1" thickBot="1" x14ac:dyDescent="0.3">
      <c r="A19" s="126">
        <v>29</v>
      </c>
      <c r="B19" s="121" t="s">
        <v>26</v>
      </c>
      <c r="C19" s="121" t="s">
        <v>238</v>
      </c>
      <c r="D19" s="121" t="s">
        <v>530</v>
      </c>
      <c r="E19" s="120" t="s">
        <v>252</v>
      </c>
      <c r="F19" s="124">
        <v>3000000</v>
      </c>
      <c r="G19" s="121" t="s">
        <v>149</v>
      </c>
      <c r="H19" s="121" t="s">
        <v>157</v>
      </c>
      <c r="I19" s="121" t="s">
        <v>540</v>
      </c>
      <c r="J19" s="158" t="s">
        <v>663</v>
      </c>
      <c r="K19" s="157" t="s">
        <v>733</v>
      </c>
      <c r="L19" s="158" t="s">
        <v>639</v>
      </c>
      <c r="M19" s="218">
        <v>0</v>
      </c>
      <c r="N19" s="121" t="s">
        <v>179</v>
      </c>
      <c r="O19" s="13"/>
    </row>
    <row r="20" spans="1:15" s="94" customFormat="1" ht="87" customHeight="1" thickTop="1" thickBot="1" x14ac:dyDescent="0.3">
      <c r="A20" s="126">
        <v>29</v>
      </c>
      <c r="B20" s="121" t="s">
        <v>26</v>
      </c>
      <c r="C20" s="121" t="s">
        <v>238</v>
      </c>
      <c r="D20" s="121" t="s">
        <v>253</v>
      </c>
      <c r="E20" s="120" t="s">
        <v>254</v>
      </c>
      <c r="F20" s="124">
        <v>3100000</v>
      </c>
      <c r="G20" s="121" t="s">
        <v>149</v>
      </c>
      <c r="H20" s="121" t="s">
        <v>157</v>
      </c>
      <c r="I20" s="121" t="s">
        <v>539</v>
      </c>
      <c r="J20" s="158" t="s">
        <v>663</v>
      </c>
      <c r="K20" s="157" t="s">
        <v>733</v>
      </c>
      <c r="L20" s="158" t="s">
        <v>640</v>
      </c>
      <c r="M20" s="218">
        <v>0</v>
      </c>
      <c r="N20" s="121" t="s">
        <v>179</v>
      </c>
      <c r="O20" s="13"/>
    </row>
    <row r="21" spans="1:15" s="94" customFormat="1" ht="91.5" customHeight="1" thickTop="1" thickBot="1" x14ac:dyDescent="0.3">
      <c r="A21" s="126">
        <v>29</v>
      </c>
      <c r="B21" s="121" t="s">
        <v>26</v>
      </c>
      <c r="C21" s="121" t="s">
        <v>238</v>
      </c>
      <c r="D21" s="120" t="s">
        <v>589</v>
      </c>
      <c r="E21" s="120" t="s">
        <v>256</v>
      </c>
      <c r="F21" s="124">
        <v>450000</v>
      </c>
      <c r="G21" s="121" t="s">
        <v>149</v>
      </c>
      <c r="H21" s="121" t="s">
        <v>148</v>
      </c>
      <c r="I21" s="121" t="s">
        <v>541</v>
      </c>
      <c r="J21" s="158" t="s">
        <v>670</v>
      </c>
      <c r="K21" s="157" t="s">
        <v>733</v>
      </c>
      <c r="L21" s="158" t="s">
        <v>643</v>
      </c>
      <c r="M21" s="218">
        <v>0</v>
      </c>
      <c r="N21" s="121" t="s">
        <v>179</v>
      </c>
      <c r="O21" s="13"/>
    </row>
    <row r="22" spans="1:15" s="94" customFormat="1" ht="81" customHeight="1" thickTop="1" thickBot="1" x14ac:dyDescent="0.3">
      <c r="A22" s="126">
        <v>29</v>
      </c>
      <c r="B22" s="121" t="s">
        <v>26</v>
      </c>
      <c r="C22" s="121" t="s">
        <v>238</v>
      </c>
      <c r="D22" s="120" t="s">
        <v>590</v>
      </c>
      <c r="E22" s="120" t="s">
        <v>408</v>
      </c>
      <c r="F22" s="124">
        <v>450000</v>
      </c>
      <c r="G22" s="121" t="s">
        <v>149</v>
      </c>
      <c r="H22" s="121" t="s">
        <v>148</v>
      </c>
      <c r="I22" s="121" t="s">
        <v>541</v>
      </c>
      <c r="J22" s="158" t="s">
        <v>670</v>
      </c>
      <c r="K22" s="157" t="s">
        <v>733</v>
      </c>
      <c r="L22" s="158" t="s">
        <v>643</v>
      </c>
      <c r="M22" s="218">
        <v>0</v>
      </c>
      <c r="N22" s="121" t="s">
        <v>179</v>
      </c>
      <c r="O22" s="13"/>
    </row>
    <row r="23" spans="1:15" s="94" customFormat="1" ht="81.75" customHeight="1" thickTop="1" thickBot="1" x14ac:dyDescent="0.3">
      <c r="A23" s="126">
        <v>29</v>
      </c>
      <c r="B23" s="121" t="s">
        <v>26</v>
      </c>
      <c r="C23" s="121" t="s">
        <v>238</v>
      </c>
      <c r="D23" s="120" t="s">
        <v>591</v>
      </c>
      <c r="E23" s="120" t="s">
        <v>257</v>
      </c>
      <c r="F23" s="124">
        <v>450000</v>
      </c>
      <c r="G23" s="121" t="s">
        <v>149</v>
      </c>
      <c r="H23" s="121" t="s">
        <v>148</v>
      </c>
      <c r="I23" s="121" t="s">
        <v>541</v>
      </c>
      <c r="J23" s="158" t="s">
        <v>670</v>
      </c>
      <c r="K23" s="157" t="s">
        <v>733</v>
      </c>
      <c r="L23" s="158" t="s">
        <v>643</v>
      </c>
      <c r="M23" s="218">
        <v>0</v>
      </c>
      <c r="N23" s="121" t="s">
        <v>179</v>
      </c>
      <c r="O23" s="13"/>
    </row>
    <row r="24" spans="1:15" s="94" customFormat="1" ht="81.75" customHeight="1" thickTop="1" thickBot="1" x14ac:dyDescent="0.3">
      <c r="A24" s="126">
        <v>29</v>
      </c>
      <c r="B24" s="121" t="s">
        <v>26</v>
      </c>
      <c r="C24" s="121" t="s">
        <v>238</v>
      </c>
      <c r="D24" s="120" t="s">
        <v>592</v>
      </c>
      <c r="E24" s="120" t="s">
        <v>258</v>
      </c>
      <c r="F24" s="124">
        <v>450000</v>
      </c>
      <c r="G24" s="121" t="s">
        <v>149</v>
      </c>
      <c r="H24" s="121" t="s">
        <v>148</v>
      </c>
      <c r="I24" s="121" t="s">
        <v>541</v>
      </c>
      <c r="J24" s="158" t="s">
        <v>670</v>
      </c>
      <c r="K24" s="157" t="s">
        <v>733</v>
      </c>
      <c r="L24" s="158" t="s">
        <v>643</v>
      </c>
      <c r="M24" s="218">
        <v>0</v>
      </c>
      <c r="N24" s="121" t="s">
        <v>179</v>
      </c>
      <c r="O24" s="13"/>
    </row>
    <row r="25" spans="1:15" s="94" customFormat="1" ht="83.25" customHeight="1" thickTop="1" thickBot="1" x14ac:dyDescent="0.3">
      <c r="A25" s="126">
        <v>29</v>
      </c>
      <c r="B25" s="121" t="s">
        <v>26</v>
      </c>
      <c r="C25" s="121" t="s">
        <v>238</v>
      </c>
      <c r="D25" s="120" t="s">
        <v>593</v>
      </c>
      <c r="E25" s="120" t="s">
        <v>343</v>
      </c>
      <c r="F25" s="124">
        <v>7000000</v>
      </c>
      <c r="G25" s="121" t="s">
        <v>149</v>
      </c>
      <c r="H25" s="121" t="s">
        <v>148</v>
      </c>
      <c r="I25" s="121" t="s">
        <v>542</v>
      </c>
      <c r="J25" s="158" t="s">
        <v>670</v>
      </c>
      <c r="K25" s="157" t="s">
        <v>733</v>
      </c>
      <c r="L25" s="158" t="s">
        <v>643</v>
      </c>
      <c r="M25" s="218">
        <v>0</v>
      </c>
      <c r="N25" s="121" t="s">
        <v>179</v>
      </c>
      <c r="O25" s="13"/>
    </row>
    <row r="26" spans="1:15" s="94" customFormat="1" ht="83.25" customHeight="1" thickTop="1" thickBot="1" x14ac:dyDescent="0.3">
      <c r="A26" s="126">
        <v>29</v>
      </c>
      <c r="B26" s="121" t="s">
        <v>26</v>
      </c>
      <c r="C26" s="121" t="s">
        <v>238</v>
      </c>
      <c r="D26" s="120" t="s">
        <v>594</v>
      </c>
      <c r="E26" s="120" t="s">
        <v>392</v>
      </c>
      <c r="F26" s="124">
        <v>220000</v>
      </c>
      <c r="G26" s="121" t="s">
        <v>149</v>
      </c>
      <c r="H26" s="121" t="s">
        <v>148</v>
      </c>
      <c r="I26" s="121" t="s">
        <v>541</v>
      </c>
      <c r="J26" s="158" t="s">
        <v>670</v>
      </c>
      <c r="K26" s="157" t="s">
        <v>733</v>
      </c>
      <c r="L26" s="158" t="s">
        <v>640</v>
      </c>
      <c r="M26" s="218">
        <v>0</v>
      </c>
      <c r="N26" s="121" t="s">
        <v>179</v>
      </c>
      <c r="O26" s="13"/>
    </row>
    <row r="27" spans="1:15" s="94" customFormat="1" ht="84.75" customHeight="1" thickTop="1" thickBot="1" x14ac:dyDescent="0.3">
      <c r="A27" s="126">
        <v>29</v>
      </c>
      <c r="B27" s="121" t="s">
        <v>26</v>
      </c>
      <c r="C27" s="121" t="s">
        <v>238</v>
      </c>
      <c r="D27" s="120" t="s">
        <v>595</v>
      </c>
      <c r="E27" s="120" t="s">
        <v>409</v>
      </c>
      <c r="F27" s="124">
        <v>220000</v>
      </c>
      <c r="G27" s="121" t="s">
        <v>149</v>
      </c>
      <c r="H27" s="121" t="s">
        <v>148</v>
      </c>
      <c r="I27" s="121" t="s">
        <v>541</v>
      </c>
      <c r="J27" s="158" t="s">
        <v>670</v>
      </c>
      <c r="K27" s="157" t="s">
        <v>733</v>
      </c>
      <c r="L27" s="158" t="s">
        <v>640</v>
      </c>
      <c r="M27" s="218">
        <v>0</v>
      </c>
      <c r="N27" s="121" t="s">
        <v>179</v>
      </c>
      <c r="O27" s="13"/>
    </row>
    <row r="28" spans="1:15" s="94" customFormat="1" ht="83.25" customHeight="1" thickTop="1" thickBot="1" x14ac:dyDescent="0.3">
      <c r="A28" s="126">
        <v>29</v>
      </c>
      <c r="B28" s="121" t="s">
        <v>26</v>
      </c>
      <c r="C28" s="121" t="s">
        <v>238</v>
      </c>
      <c r="D28" s="120" t="s">
        <v>596</v>
      </c>
      <c r="E28" s="120" t="s">
        <v>131</v>
      </c>
      <c r="F28" s="124">
        <v>220000</v>
      </c>
      <c r="G28" s="121" t="s">
        <v>149</v>
      </c>
      <c r="H28" s="121" t="s">
        <v>148</v>
      </c>
      <c r="I28" s="121" t="s">
        <v>541</v>
      </c>
      <c r="J28" s="158" t="s">
        <v>670</v>
      </c>
      <c r="K28" s="157" t="s">
        <v>733</v>
      </c>
      <c r="L28" s="158" t="s">
        <v>640</v>
      </c>
      <c r="M28" s="218">
        <v>0</v>
      </c>
      <c r="N28" s="121" t="s">
        <v>179</v>
      </c>
      <c r="O28" s="13"/>
    </row>
    <row r="29" spans="1:15" s="94" customFormat="1" ht="87.75" customHeight="1" thickTop="1" thickBot="1" x14ac:dyDescent="0.3">
      <c r="A29" s="126">
        <v>29</v>
      </c>
      <c r="B29" s="121" t="s">
        <v>26</v>
      </c>
      <c r="C29" s="121" t="s">
        <v>261</v>
      </c>
      <c r="D29" s="121" t="s">
        <v>262</v>
      </c>
      <c r="E29" s="120" t="s">
        <v>263</v>
      </c>
      <c r="F29" s="124">
        <v>8965000</v>
      </c>
      <c r="G29" s="121" t="s">
        <v>149</v>
      </c>
      <c r="H29" s="121" t="s">
        <v>157</v>
      </c>
      <c r="I29" s="121" t="s">
        <v>541</v>
      </c>
      <c r="J29" s="158" t="s">
        <v>670</v>
      </c>
      <c r="K29" s="157" t="s">
        <v>733</v>
      </c>
      <c r="L29" s="158" t="s">
        <v>639</v>
      </c>
      <c r="M29" s="218" t="s">
        <v>835</v>
      </c>
      <c r="N29" s="121" t="s">
        <v>179</v>
      </c>
      <c r="O29" s="13"/>
    </row>
    <row r="30" spans="1:15" s="94" customFormat="1" ht="86.25" customHeight="1" thickTop="1" thickBot="1" x14ac:dyDescent="0.3">
      <c r="A30" s="126">
        <v>29</v>
      </c>
      <c r="B30" s="121" t="s">
        <v>26</v>
      </c>
      <c r="C30" s="121" t="s">
        <v>261</v>
      </c>
      <c r="D30" s="121" t="s">
        <v>264</v>
      </c>
      <c r="E30" s="120" t="s">
        <v>265</v>
      </c>
      <c r="F30" s="124">
        <v>5400000</v>
      </c>
      <c r="G30" s="121" t="s">
        <v>149</v>
      </c>
      <c r="H30" s="121" t="s">
        <v>355</v>
      </c>
      <c r="I30" s="121" t="s">
        <v>1404</v>
      </c>
      <c r="J30" s="158" t="s">
        <v>670</v>
      </c>
      <c r="K30" s="157" t="s">
        <v>733</v>
      </c>
      <c r="L30" s="158" t="s">
        <v>639</v>
      </c>
      <c r="M30" s="218">
        <v>0</v>
      </c>
      <c r="N30" s="121" t="s">
        <v>179</v>
      </c>
      <c r="O30" s="13"/>
    </row>
    <row r="31" spans="1:15" s="94" customFormat="1" ht="82.5" customHeight="1" thickTop="1" thickBot="1" x14ac:dyDescent="0.3">
      <c r="A31" s="126">
        <v>29</v>
      </c>
      <c r="B31" s="121" t="s">
        <v>26</v>
      </c>
      <c r="C31" s="121" t="s">
        <v>261</v>
      </c>
      <c r="D31" s="121" t="s">
        <v>597</v>
      </c>
      <c r="E31" s="120" t="s">
        <v>344</v>
      </c>
      <c r="F31" s="124">
        <v>1500000</v>
      </c>
      <c r="G31" s="121" t="s">
        <v>149</v>
      </c>
      <c r="H31" s="121" t="s">
        <v>171</v>
      </c>
      <c r="I31" s="121" t="s">
        <v>373</v>
      </c>
      <c r="J31" s="121" t="s">
        <v>829</v>
      </c>
      <c r="K31" s="157" t="s">
        <v>733</v>
      </c>
      <c r="L31" s="158" t="s">
        <v>830</v>
      </c>
      <c r="M31" s="218" t="s">
        <v>836</v>
      </c>
      <c r="N31" s="121" t="s">
        <v>179</v>
      </c>
      <c r="O31" s="13"/>
    </row>
    <row r="32" spans="1:15" s="94" customFormat="1" ht="69.75" customHeight="1" thickTop="1" thickBot="1" x14ac:dyDescent="0.3">
      <c r="A32" s="126">
        <v>29</v>
      </c>
      <c r="B32" s="121" t="s">
        <v>26</v>
      </c>
      <c r="C32" s="121" t="s">
        <v>261</v>
      </c>
      <c r="D32" s="121" t="s">
        <v>266</v>
      </c>
      <c r="E32" s="120" t="s">
        <v>267</v>
      </c>
      <c r="F32" s="124">
        <v>3600000</v>
      </c>
      <c r="G32" s="121" t="s">
        <v>149</v>
      </c>
      <c r="H32" s="121" t="s">
        <v>157</v>
      </c>
      <c r="I32" s="121" t="s">
        <v>531</v>
      </c>
      <c r="J32" s="158" t="s">
        <v>671</v>
      </c>
      <c r="K32" s="157" t="s">
        <v>733</v>
      </c>
      <c r="L32" s="158" t="s">
        <v>639</v>
      </c>
      <c r="M32" s="218">
        <v>0</v>
      </c>
      <c r="N32" s="121" t="s">
        <v>179</v>
      </c>
      <c r="O32" s="13"/>
    </row>
    <row r="33" spans="1:15" s="94" customFormat="1" ht="65.25" thickTop="1" thickBot="1" x14ac:dyDescent="0.3">
      <c r="A33" s="126">
        <v>29</v>
      </c>
      <c r="B33" s="121" t="s">
        <v>26</v>
      </c>
      <c r="C33" s="121" t="s">
        <v>261</v>
      </c>
      <c r="D33" s="121" t="s">
        <v>268</v>
      </c>
      <c r="E33" s="120" t="s">
        <v>269</v>
      </c>
      <c r="F33" s="124">
        <v>5950000</v>
      </c>
      <c r="G33" s="121" t="s">
        <v>149</v>
      </c>
      <c r="H33" s="121" t="s">
        <v>157</v>
      </c>
      <c r="I33" s="121" t="s">
        <v>531</v>
      </c>
      <c r="J33" s="158" t="s">
        <v>671</v>
      </c>
      <c r="K33" s="157" t="s">
        <v>733</v>
      </c>
      <c r="L33" s="158" t="s">
        <v>639</v>
      </c>
      <c r="M33" s="218">
        <v>0</v>
      </c>
      <c r="N33" s="121" t="s">
        <v>179</v>
      </c>
      <c r="O33" s="13"/>
    </row>
    <row r="34" spans="1:15" s="94" customFormat="1" ht="78" thickTop="1" thickBot="1" x14ac:dyDescent="0.3">
      <c r="A34" s="126">
        <v>29</v>
      </c>
      <c r="B34" s="121" t="s">
        <v>26</v>
      </c>
      <c r="C34" s="121" t="s">
        <v>261</v>
      </c>
      <c r="D34" s="121" t="s">
        <v>270</v>
      </c>
      <c r="E34" s="120" t="s">
        <v>271</v>
      </c>
      <c r="F34" s="124">
        <v>5950000</v>
      </c>
      <c r="G34" s="121" t="s">
        <v>149</v>
      </c>
      <c r="H34" s="121" t="s">
        <v>157</v>
      </c>
      <c r="I34" s="121" t="s">
        <v>531</v>
      </c>
      <c r="J34" s="158" t="s">
        <v>671</v>
      </c>
      <c r="K34" s="157" t="s">
        <v>733</v>
      </c>
      <c r="L34" s="158" t="s">
        <v>639</v>
      </c>
      <c r="M34" s="218">
        <v>0</v>
      </c>
      <c r="N34" s="121" t="s">
        <v>179</v>
      </c>
      <c r="O34" s="13"/>
    </row>
    <row r="35" spans="1:15" s="94" customFormat="1" ht="78" thickTop="1" thickBot="1" x14ac:dyDescent="0.3">
      <c r="A35" s="126">
        <v>29</v>
      </c>
      <c r="B35" s="121" t="s">
        <v>26</v>
      </c>
      <c r="C35" s="121" t="s">
        <v>261</v>
      </c>
      <c r="D35" s="121" t="s">
        <v>369</v>
      </c>
      <c r="E35" s="120" t="s">
        <v>371</v>
      </c>
      <c r="F35" s="124">
        <v>2000000</v>
      </c>
      <c r="G35" s="121" t="s">
        <v>149</v>
      </c>
      <c r="H35" s="121" t="s">
        <v>171</v>
      </c>
      <c r="I35" s="121" t="s">
        <v>373</v>
      </c>
      <c r="J35" s="121" t="s">
        <v>829</v>
      </c>
      <c r="K35" s="157" t="s">
        <v>733</v>
      </c>
      <c r="L35" s="158" t="s">
        <v>830</v>
      </c>
      <c r="M35" s="218">
        <v>1839596</v>
      </c>
      <c r="N35" s="121" t="s">
        <v>179</v>
      </c>
      <c r="O35" s="13"/>
    </row>
    <row r="36" spans="1:15" s="94" customFormat="1" ht="78" thickTop="1" thickBot="1" x14ac:dyDescent="0.3">
      <c r="A36" s="126">
        <v>29</v>
      </c>
      <c r="B36" s="121" t="s">
        <v>26</v>
      </c>
      <c r="C36" s="121" t="s">
        <v>261</v>
      </c>
      <c r="D36" s="121" t="s">
        <v>370</v>
      </c>
      <c r="E36" s="120" t="s">
        <v>372</v>
      </c>
      <c r="F36" s="124">
        <v>1000000</v>
      </c>
      <c r="G36" s="121" t="s">
        <v>149</v>
      </c>
      <c r="H36" s="121" t="s">
        <v>171</v>
      </c>
      <c r="I36" s="121" t="s">
        <v>373</v>
      </c>
      <c r="J36" s="158" t="s">
        <v>829</v>
      </c>
      <c r="K36" s="157" t="s">
        <v>733</v>
      </c>
      <c r="L36" s="158" t="s">
        <v>644</v>
      </c>
      <c r="M36" s="218">
        <v>2616777</v>
      </c>
      <c r="N36" s="121" t="s">
        <v>179</v>
      </c>
      <c r="O36" s="13"/>
    </row>
    <row r="37" spans="1:15" s="94" customFormat="1" ht="65.25" thickTop="1" thickBot="1" x14ac:dyDescent="0.3">
      <c r="A37" s="126">
        <v>29</v>
      </c>
      <c r="B37" s="121" t="s">
        <v>26</v>
      </c>
      <c r="C37" s="121" t="s">
        <v>261</v>
      </c>
      <c r="D37" s="121" t="s">
        <v>272</v>
      </c>
      <c r="E37" s="120" t="s">
        <v>273</v>
      </c>
      <c r="F37" s="124">
        <v>5600000</v>
      </c>
      <c r="G37" s="121" t="s">
        <v>149</v>
      </c>
      <c r="H37" s="121" t="s">
        <v>157</v>
      </c>
      <c r="I37" s="121" t="s">
        <v>531</v>
      </c>
      <c r="J37" s="158" t="s">
        <v>671</v>
      </c>
      <c r="K37" s="157" t="s">
        <v>733</v>
      </c>
      <c r="L37" s="158" t="s">
        <v>639</v>
      </c>
      <c r="M37" s="218">
        <v>0</v>
      </c>
      <c r="N37" s="121" t="s">
        <v>179</v>
      </c>
      <c r="O37" s="13"/>
    </row>
    <row r="38" spans="1:15" s="94" customFormat="1" ht="80.25" customHeight="1" thickTop="1" thickBot="1" x14ac:dyDescent="0.3">
      <c r="A38" s="126">
        <v>29</v>
      </c>
      <c r="B38" s="121" t="s">
        <v>26</v>
      </c>
      <c r="C38" s="121" t="s">
        <v>261</v>
      </c>
      <c r="D38" s="120" t="s">
        <v>598</v>
      </c>
      <c r="E38" s="120" t="s">
        <v>280</v>
      </c>
      <c r="F38" s="124">
        <v>400000</v>
      </c>
      <c r="G38" s="121" t="s">
        <v>149</v>
      </c>
      <c r="H38" s="121" t="s">
        <v>148</v>
      </c>
      <c r="I38" s="121" t="s">
        <v>541</v>
      </c>
      <c r="J38" s="158" t="s">
        <v>1405</v>
      </c>
      <c r="K38" s="157" t="s">
        <v>733</v>
      </c>
      <c r="L38" s="158" t="s">
        <v>643</v>
      </c>
      <c r="M38" s="218">
        <v>0</v>
      </c>
      <c r="N38" s="121" t="s">
        <v>179</v>
      </c>
      <c r="O38" s="13"/>
    </row>
    <row r="39" spans="1:15" s="94" customFormat="1" ht="78" thickTop="1" thickBot="1" x14ac:dyDescent="0.3">
      <c r="A39" s="126">
        <v>29</v>
      </c>
      <c r="B39" s="121" t="s">
        <v>26</v>
      </c>
      <c r="C39" s="121" t="s">
        <v>261</v>
      </c>
      <c r="D39" s="120" t="s">
        <v>599</v>
      </c>
      <c r="E39" s="120" t="s">
        <v>281</v>
      </c>
      <c r="F39" s="124">
        <v>400000</v>
      </c>
      <c r="G39" s="121" t="s">
        <v>149</v>
      </c>
      <c r="H39" s="121" t="s">
        <v>148</v>
      </c>
      <c r="I39" s="121" t="s">
        <v>541</v>
      </c>
      <c r="J39" s="158" t="s">
        <v>1405</v>
      </c>
      <c r="K39" s="157" t="s">
        <v>733</v>
      </c>
      <c r="L39" s="158" t="s">
        <v>643</v>
      </c>
      <c r="M39" s="218">
        <v>0</v>
      </c>
      <c r="N39" s="121" t="s">
        <v>179</v>
      </c>
      <c r="O39" s="13"/>
    </row>
    <row r="40" spans="1:15" s="94" customFormat="1" ht="81" customHeight="1" thickTop="1" thickBot="1" x14ac:dyDescent="0.3">
      <c r="A40" s="126">
        <v>29</v>
      </c>
      <c r="B40" s="121" t="s">
        <v>26</v>
      </c>
      <c r="C40" s="121" t="s">
        <v>261</v>
      </c>
      <c r="D40" s="120" t="s">
        <v>600</v>
      </c>
      <c r="E40" s="120" t="s">
        <v>282</v>
      </c>
      <c r="F40" s="124">
        <v>400000</v>
      </c>
      <c r="G40" s="121" t="s">
        <v>149</v>
      </c>
      <c r="H40" s="121" t="s">
        <v>148</v>
      </c>
      <c r="I40" s="121" t="s">
        <v>541</v>
      </c>
      <c r="J40" s="158" t="s">
        <v>1405</v>
      </c>
      <c r="K40" s="157" t="s">
        <v>733</v>
      </c>
      <c r="L40" s="158" t="s">
        <v>643</v>
      </c>
      <c r="M40" s="218">
        <v>0</v>
      </c>
      <c r="N40" s="121" t="s">
        <v>179</v>
      </c>
      <c r="O40" s="13"/>
    </row>
    <row r="41" spans="1:15" s="94" customFormat="1" ht="84.75" customHeight="1" thickTop="1" thickBot="1" x14ac:dyDescent="0.3">
      <c r="A41" s="126">
        <v>29</v>
      </c>
      <c r="B41" s="121" t="s">
        <v>26</v>
      </c>
      <c r="C41" s="121" t="s">
        <v>261</v>
      </c>
      <c r="D41" s="120" t="s">
        <v>601</v>
      </c>
      <c r="E41" s="120" t="s">
        <v>283</v>
      </c>
      <c r="F41" s="124">
        <v>400000</v>
      </c>
      <c r="G41" s="121" t="s">
        <v>149</v>
      </c>
      <c r="H41" s="121" t="s">
        <v>148</v>
      </c>
      <c r="I41" s="121" t="s">
        <v>541</v>
      </c>
      <c r="J41" s="158" t="s">
        <v>1405</v>
      </c>
      <c r="K41" s="157" t="s">
        <v>733</v>
      </c>
      <c r="L41" s="158" t="s">
        <v>643</v>
      </c>
      <c r="M41" s="218">
        <v>0</v>
      </c>
      <c r="N41" s="121" t="s">
        <v>179</v>
      </c>
      <c r="O41" s="13"/>
    </row>
    <row r="42" spans="1:15" s="94" customFormat="1" ht="88.5" customHeight="1" thickTop="1" thickBot="1" x14ac:dyDescent="0.3">
      <c r="A42" s="126">
        <v>29</v>
      </c>
      <c r="B42" s="121" t="s">
        <v>26</v>
      </c>
      <c r="C42" s="121" t="s">
        <v>261</v>
      </c>
      <c r="D42" s="120" t="s">
        <v>602</v>
      </c>
      <c r="E42" s="120" t="s">
        <v>284</v>
      </c>
      <c r="F42" s="124">
        <v>400000</v>
      </c>
      <c r="G42" s="121" t="s">
        <v>149</v>
      </c>
      <c r="H42" s="121" t="s">
        <v>148</v>
      </c>
      <c r="I42" s="121" t="s">
        <v>541</v>
      </c>
      <c r="J42" s="158" t="s">
        <v>1405</v>
      </c>
      <c r="K42" s="157" t="s">
        <v>733</v>
      </c>
      <c r="L42" s="158" t="s">
        <v>643</v>
      </c>
      <c r="M42" s="218">
        <v>0</v>
      </c>
      <c r="N42" s="121" t="s">
        <v>179</v>
      </c>
      <c r="O42" s="13"/>
    </row>
    <row r="43" spans="1:15" s="94" customFormat="1" ht="81.75" customHeight="1" thickTop="1" thickBot="1" x14ac:dyDescent="0.3">
      <c r="A43" s="126">
        <v>29</v>
      </c>
      <c r="B43" s="121" t="s">
        <v>26</v>
      </c>
      <c r="C43" s="121" t="s">
        <v>261</v>
      </c>
      <c r="D43" s="120" t="s">
        <v>603</v>
      </c>
      <c r="E43" s="120" t="s">
        <v>285</v>
      </c>
      <c r="F43" s="124">
        <v>400000</v>
      </c>
      <c r="G43" s="121" t="s">
        <v>149</v>
      </c>
      <c r="H43" s="121" t="s">
        <v>148</v>
      </c>
      <c r="I43" s="121" t="s">
        <v>541</v>
      </c>
      <c r="J43" s="158" t="s">
        <v>672</v>
      </c>
      <c r="K43" s="157" t="s">
        <v>733</v>
      </c>
      <c r="L43" s="158" t="s">
        <v>643</v>
      </c>
      <c r="M43" s="218">
        <v>0</v>
      </c>
      <c r="N43" s="121" t="s">
        <v>179</v>
      </c>
      <c r="O43" s="13"/>
    </row>
    <row r="44" spans="1:15" s="94" customFormat="1" ht="81.75" customHeight="1" thickTop="1" thickBot="1" x14ac:dyDescent="0.3">
      <c r="A44" s="126">
        <v>29</v>
      </c>
      <c r="B44" s="121" t="s">
        <v>26</v>
      </c>
      <c r="C44" s="121" t="s">
        <v>261</v>
      </c>
      <c r="D44" s="120" t="s">
        <v>604</v>
      </c>
      <c r="E44" s="120" t="s">
        <v>286</v>
      </c>
      <c r="F44" s="124">
        <v>400000</v>
      </c>
      <c r="G44" s="121" t="s">
        <v>149</v>
      </c>
      <c r="H44" s="121" t="s">
        <v>148</v>
      </c>
      <c r="I44" s="121" t="s">
        <v>541</v>
      </c>
      <c r="J44" s="158" t="s">
        <v>672</v>
      </c>
      <c r="K44" s="157" t="s">
        <v>733</v>
      </c>
      <c r="L44" s="158" t="s">
        <v>643</v>
      </c>
      <c r="M44" s="218">
        <v>0</v>
      </c>
      <c r="N44" s="121" t="s">
        <v>179</v>
      </c>
      <c r="O44" s="13"/>
    </row>
    <row r="45" spans="1:15" s="94" customFormat="1" ht="84" customHeight="1" thickTop="1" thickBot="1" x14ac:dyDescent="0.3">
      <c r="A45" s="126">
        <v>29</v>
      </c>
      <c r="B45" s="121" t="s">
        <v>26</v>
      </c>
      <c r="C45" s="121" t="s">
        <v>261</v>
      </c>
      <c r="D45" s="120" t="s">
        <v>606</v>
      </c>
      <c r="E45" s="120" t="s">
        <v>287</v>
      </c>
      <c r="F45" s="124">
        <v>400000</v>
      </c>
      <c r="G45" s="121" t="s">
        <v>149</v>
      </c>
      <c r="H45" s="121" t="s">
        <v>148</v>
      </c>
      <c r="I45" s="121" t="s">
        <v>541</v>
      </c>
      <c r="J45" s="158" t="s">
        <v>1405</v>
      </c>
      <c r="K45" s="157" t="s">
        <v>733</v>
      </c>
      <c r="L45" s="158" t="s">
        <v>643</v>
      </c>
      <c r="M45" s="218">
        <v>0</v>
      </c>
      <c r="N45" s="121" t="s">
        <v>179</v>
      </c>
      <c r="O45" s="13"/>
    </row>
    <row r="46" spans="1:15" s="94" customFormat="1" ht="78" thickTop="1" thickBot="1" x14ac:dyDescent="0.3">
      <c r="A46" s="126">
        <v>29</v>
      </c>
      <c r="B46" s="121" t="s">
        <v>26</v>
      </c>
      <c r="C46" s="121" t="s">
        <v>261</v>
      </c>
      <c r="D46" s="120" t="s">
        <v>605</v>
      </c>
      <c r="E46" s="120" t="s">
        <v>288</v>
      </c>
      <c r="F46" s="124">
        <v>400000</v>
      </c>
      <c r="G46" s="121" t="s">
        <v>149</v>
      </c>
      <c r="H46" s="121" t="s">
        <v>148</v>
      </c>
      <c r="I46" s="121" t="s">
        <v>541</v>
      </c>
      <c r="J46" s="158" t="s">
        <v>672</v>
      </c>
      <c r="K46" s="157" t="s">
        <v>733</v>
      </c>
      <c r="L46" s="158" t="s">
        <v>643</v>
      </c>
      <c r="M46" s="218">
        <v>0</v>
      </c>
      <c r="N46" s="121" t="s">
        <v>179</v>
      </c>
      <c r="O46" s="13"/>
    </row>
    <row r="47" spans="1:15" s="94" customFormat="1" ht="66.75" customHeight="1" thickTop="1" thickBot="1" x14ac:dyDescent="0.3">
      <c r="A47" s="126">
        <v>34</v>
      </c>
      <c r="B47" s="121" t="s">
        <v>26</v>
      </c>
      <c r="C47" s="121" t="s">
        <v>261</v>
      </c>
      <c r="D47" s="120" t="s">
        <v>519</v>
      </c>
      <c r="E47" s="120" t="s">
        <v>346</v>
      </c>
      <c r="F47" s="124">
        <v>1700000</v>
      </c>
      <c r="G47" s="121" t="s">
        <v>149</v>
      </c>
      <c r="H47" s="121" t="s">
        <v>533</v>
      </c>
      <c r="I47" s="121" t="s">
        <v>347</v>
      </c>
      <c r="J47" s="158" t="s">
        <v>673</v>
      </c>
      <c r="K47" s="157" t="s">
        <v>733</v>
      </c>
      <c r="L47" s="158" t="s">
        <v>644</v>
      </c>
      <c r="M47" s="218">
        <v>2208757</v>
      </c>
      <c r="N47" s="121" t="s">
        <v>179</v>
      </c>
      <c r="O47" s="13"/>
    </row>
    <row r="48" spans="1:15" s="96" customFormat="1" ht="65.25" thickTop="1" thickBot="1" x14ac:dyDescent="0.3">
      <c r="A48" s="126">
        <v>29</v>
      </c>
      <c r="B48" s="121" t="s">
        <v>26</v>
      </c>
      <c r="C48" s="121" t="s">
        <v>261</v>
      </c>
      <c r="D48" s="121" t="s">
        <v>274</v>
      </c>
      <c r="E48" s="120" t="s">
        <v>275</v>
      </c>
      <c r="F48" s="124">
        <v>2100000</v>
      </c>
      <c r="G48" s="121" t="s">
        <v>149</v>
      </c>
      <c r="H48" s="121" t="s">
        <v>157</v>
      </c>
      <c r="I48" s="121" t="s">
        <v>255</v>
      </c>
      <c r="J48" s="158" t="s">
        <v>671</v>
      </c>
      <c r="K48" s="157" t="s">
        <v>733</v>
      </c>
      <c r="L48" s="158" t="s">
        <v>639</v>
      </c>
      <c r="M48" s="218" t="s">
        <v>837</v>
      </c>
      <c r="N48" s="121" t="s">
        <v>179</v>
      </c>
      <c r="O48" s="13"/>
    </row>
    <row r="49" spans="1:15" s="96" customFormat="1" ht="82.5" customHeight="1" thickTop="1" thickBot="1" x14ac:dyDescent="0.3">
      <c r="A49" s="126">
        <v>29</v>
      </c>
      <c r="B49" s="121" t="s">
        <v>26</v>
      </c>
      <c r="C49" s="121" t="s">
        <v>261</v>
      </c>
      <c r="D49" s="121" t="s">
        <v>276</v>
      </c>
      <c r="E49" s="120" t="s">
        <v>277</v>
      </c>
      <c r="F49" s="124">
        <v>2100000</v>
      </c>
      <c r="G49" s="121" t="s">
        <v>149</v>
      </c>
      <c r="H49" s="121" t="s">
        <v>157</v>
      </c>
      <c r="I49" s="121" t="s">
        <v>255</v>
      </c>
      <c r="J49" s="158" t="s">
        <v>1406</v>
      </c>
      <c r="K49" s="157" t="s">
        <v>733</v>
      </c>
      <c r="L49" s="158" t="s">
        <v>639</v>
      </c>
      <c r="M49" s="218" t="s">
        <v>838</v>
      </c>
      <c r="N49" s="121" t="s">
        <v>179</v>
      </c>
      <c r="O49" s="13"/>
    </row>
    <row r="50" spans="1:15" s="94" customFormat="1" ht="80.25" customHeight="1" thickTop="1" thickBot="1" x14ac:dyDescent="0.3">
      <c r="A50" s="126">
        <v>29</v>
      </c>
      <c r="B50" s="121" t="s">
        <v>26</v>
      </c>
      <c r="C50" s="121" t="s">
        <v>261</v>
      </c>
      <c r="D50" s="120" t="s">
        <v>608</v>
      </c>
      <c r="E50" s="120" t="s">
        <v>278</v>
      </c>
      <c r="F50" s="124">
        <v>375000</v>
      </c>
      <c r="G50" s="121" t="s">
        <v>149</v>
      </c>
      <c r="H50" s="121" t="s">
        <v>148</v>
      </c>
      <c r="I50" s="121" t="s">
        <v>607</v>
      </c>
      <c r="J50" s="158" t="s">
        <v>1405</v>
      </c>
      <c r="K50" s="157" t="s">
        <v>733</v>
      </c>
      <c r="L50" s="158" t="s">
        <v>639</v>
      </c>
      <c r="M50" s="218">
        <v>0</v>
      </c>
      <c r="N50" s="121" t="s">
        <v>179</v>
      </c>
      <c r="O50" s="13"/>
    </row>
    <row r="51" spans="1:15" s="94" customFormat="1" ht="78" thickTop="1" thickBot="1" x14ac:dyDescent="0.3">
      <c r="A51" s="126">
        <v>29</v>
      </c>
      <c r="B51" s="121" t="s">
        <v>26</v>
      </c>
      <c r="C51" s="121" t="s">
        <v>261</v>
      </c>
      <c r="D51" s="120" t="s">
        <v>609</v>
      </c>
      <c r="E51" s="120" t="s">
        <v>279</v>
      </c>
      <c r="F51" s="124">
        <v>3600000</v>
      </c>
      <c r="G51" s="121" t="s">
        <v>149</v>
      </c>
      <c r="H51" s="121" t="s">
        <v>157</v>
      </c>
      <c r="I51" s="121" t="s">
        <v>255</v>
      </c>
      <c r="J51" s="158" t="s">
        <v>677</v>
      </c>
      <c r="K51" s="157" t="s">
        <v>733</v>
      </c>
      <c r="L51" s="158" t="s">
        <v>639</v>
      </c>
      <c r="M51" s="218" t="s">
        <v>839</v>
      </c>
      <c r="N51" s="121" t="s">
        <v>179</v>
      </c>
      <c r="O51" s="13"/>
    </row>
    <row r="52" spans="1:15" s="94" customFormat="1" ht="113.25" customHeight="1" thickTop="1" thickBot="1" x14ac:dyDescent="0.3">
      <c r="A52" s="126">
        <v>54</v>
      </c>
      <c r="B52" s="121" t="s">
        <v>26</v>
      </c>
      <c r="C52" s="121" t="s">
        <v>50</v>
      </c>
      <c r="D52" s="120" t="s">
        <v>520</v>
      </c>
      <c r="E52" s="120" t="s">
        <v>180</v>
      </c>
      <c r="F52" s="124">
        <v>500000</v>
      </c>
      <c r="G52" s="125" t="s">
        <v>149</v>
      </c>
      <c r="H52" s="125" t="s">
        <v>533</v>
      </c>
      <c r="I52" s="121" t="s">
        <v>181</v>
      </c>
      <c r="J52" s="158" t="s">
        <v>671</v>
      </c>
      <c r="K52" s="158" t="s">
        <v>645</v>
      </c>
      <c r="L52" s="158" t="s">
        <v>639</v>
      </c>
      <c r="M52" s="218">
        <v>0</v>
      </c>
      <c r="N52" s="121" t="s">
        <v>179</v>
      </c>
      <c r="O52" s="13"/>
    </row>
    <row r="53" spans="1:15" s="94" customFormat="1" ht="113.25" customHeight="1" thickTop="1" thickBot="1" x14ac:dyDescent="0.3">
      <c r="A53" s="126">
        <v>54</v>
      </c>
      <c r="B53" s="121" t="s">
        <v>26</v>
      </c>
      <c r="C53" s="121" t="s">
        <v>50</v>
      </c>
      <c r="D53" s="121" t="s">
        <v>547</v>
      </c>
      <c r="E53" s="120" t="s">
        <v>182</v>
      </c>
      <c r="F53" s="124">
        <v>500000</v>
      </c>
      <c r="G53" s="125" t="s">
        <v>151</v>
      </c>
      <c r="H53" s="125" t="s">
        <v>157</v>
      </c>
      <c r="I53" s="121" t="s">
        <v>610</v>
      </c>
      <c r="J53" s="158" t="s">
        <v>677</v>
      </c>
      <c r="K53" s="157" t="s">
        <v>733</v>
      </c>
      <c r="L53" s="158" t="s">
        <v>639</v>
      </c>
      <c r="M53" s="218">
        <v>0</v>
      </c>
      <c r="N53" s="121" t="s">
        <v>179</v>
      </c>
      <c r="O53" s="13"/>
    </row>
    <row r="54" spans="1:15" s="94" customFormat="1" ht="97.5" customHeight="1" thickTop="1" thickBot="1" x14ac:dyDescent="0.3">
      <c r="A54" s="126">
        <v>52</v>
      </c>
      <c r="B54" s="121" t="s">
        <v>26</v>
      </c>
      <c r="C54" s="121" t="s">
        <v>62</v>
      </c>
      <c r="D54" s="121" t="s">
        <v>548</v>
      </c>
      <c r="E54" s="120" t="s">
        <v>259</v>
      </c>
      <c r="F54" s="124">
        <v>5326472</v>
      </c>
      <c r="G54" s="121" t="s">
        <v>149</v>
      </c>
      <c r="H54" s="121" t="s">
        <v>157</v>
      </c>
      <c r="I54" s="121" t="s">
        <v>242</v>
      </c>
      <c r="J54" s="158" t="s">
        <v>681</v>
      </c>
      <c r="K54" s="157" t="s">
        <v>733</v>
      </c>
      <c r="L54" s="158" t="s">
        <v>639</v>
      </c>
      <c r="M54" s="218" t="s">
        <v>827</v>
      </c>
      <c r="N54" s="121" t="s">
        <v>179</v>
      </c>
      <c r="O54" s="13"/>
    </row>
    <row r="55" spans="1:15" s="96" customFormat="1" ht="67.5" customHeight="1" thickTop="1" thickBot="1" x14ac:dyDescent="0.3">
      <c r="A55" s="126">
        <v>25</v>
      </c>
      <c r="B55" s="121" t="s">
        <v>26</v>
      </c>
      <c r="C55" s="120" t="s">
        <v>81</v>
      </c>
      <c r="D55" s="120" t="s">
        <v>611</v>
      </c>
      <c r="E55" s="120" t="s">
        <v>421</v>
      </c>
      <c r="F55" s="124">
        <v>105000</v>
      </c>
      <c r="G55" s="121" t="s">
        <v>149</v>
      </c>
      <c r="H55" s="121" t="s">
        <v>171</v>
      </c>
      <c r="I55" s="121" t="s">
        <v>362</v>
      </c>
      <c r="J55" s="158" t="s">
        <v>828</v>
      </c>
      <c r="K55" s="158" t="s">
        <v>647</v>
      </c>
      <c r="L55" s="158" t="s">
        <v>646</v>
      </c>
      <c r="M55" s="218">
        <v>68639</v>
      </c>
      <c r="N55" s="121" t="s">
        <v>179</v>
      </c>
      <c r="O55" s="13"/>
    </row>
    <row r="56" spans="1:15" s="96" customFormat="1" ht="78" customHeight="1" thickTop="1" thickBot="1" x14ac:dyDescent="0.3">
      <c r="A56" s="126">
        <v>25</v>
      </c>
      <c r="B56" s="121" t="s">
        <v>26</v>
      </c>
      <c r="C56" s="120" t="s">
        <v>81</v>
      </c>
      <c r="D56" s="120" t="s">
        <v>427</v>
      </c>
      <c r="E56" s="120" t="s">
        <v>426</v>
      </c>
      <c r="F56" s="124">
        <v>105000</v>
      </c>
      <c r="G56" s="121" t="s">
        <v>149</v>
      </c>
      <c r="H56" s="121" t="s">
        <v>171</v>
      </c>
      <c r="I56" s="121" t="s">
        <v>362</v>
      </c>
      <c r="J56" s="158" t="s">
        <v>828</v>
      </c>
      <c r="K56" s="158" t="s">
        <v>647</v>
      </c>
      <c r="L56" s="158" t="s">
        <v>646</v>
      </c>
      <c r="M56" s="218">
        <v>69810</v>
      </c>
      <c r="N56" s="121" t="s">
        <v>179</v>
      </c>
      <c r="O56" s="13"/>
    </row>
    <row r="57" spans="1:15" s="96" customFormat="1" ht="72" customHeight="1" thickTop="1" thickBot="1" x14ac:dyDescent="0.3">
      <c r="A57" s="126">
        <v>25</v>
      </c>
      <c r="B57" s="121" t="s">
        <v>26</v>
      </c>
      <c r="C57" s="120" t="s">
        <v>81</v>
      </c>
      <c r="D57" s="120" t="s">
        <v>400</v>
      </c>
      <c r="E57" s="120" t="s">
        <v>368</v>
      </c>
      <c r="F57" s="124">
        <v>105000</v>
      </c>
      <c r="G57" s="121" t="s">
        <v>149</v>
      </c>
      <c r="H57" s="121" t="s">
        <v>171</v>
      </c>
      <c r="I57" s="121" t="s">
        <v>362</v>
      </c>
      <c r="J57" s="158" t="s">
        <v>828</v>
      </c>
      <c r="K57" s="158" t="s">
        <v>647</v>
      </c>
      <c r="L57" s="158" t="s">
        <v>646</v>
      </c>
      <c r="M57" s="218">
        <v>69810</v>
      </c>
      <c r="N57" s="121" t="s">
        <v>179</v>
      </c>
      <c r="O57" s="13"/>
    </row>
    <row r="58" spans="1:15" s="96" customFormat="1" ht="77.25" customHeight="1" thickTop="1" thickBot="1" x14ac:dyDescent="0.3">
      <c r="A58" s="126">
        <v>25</v>
      </c>
      <c r="B58" s="121" t="s">
        <v>26</v>
      </c>
      <c r="C58" s="120" t="s">
        <v>81</v>
      </c>
      <c r="D58" s="120" t="s">
        <v>401</v>
      </c>
      <c r="E58" s="120" t="s">
        <v>367</v>
      </c>
      <c r="F58" s="124">
        <v>105000</v>
      </c>
      <c r="G58" s="121" t="s">
        <v>149</v>
      </c>
      <c r="H58" s="121" t="s">
        <v>171</v>
      </c>
      <c r="I58" s="121" t="s">
        <v>362</v>
      </c>
      <c r="J58" s="158" t="s">
        <v>828</v>
      </c>
      <c r="K58" s="158" t="s">
        <v>647</v>
      </c>
      <c r="L58" s="158" t="s">
        <v>646</v>
      </c>
      <c r="M58" s="218">
        <v>68639</v>
      </c>
      <c r="N58" s="121" t="s">
        <v>179</v>
      </c>
      <c r="O58" s="13"/>
    </row>
    <row r="59" spans="1:15" s="96" customFormat="1" ht="78" customHeight="1" thickTop="1" thickBot="1" x14ac:dyDescent="0.3">
      <c r="A59" s="126">
        <v>25</v>
      </c>
      <c r="B59" s="121" t="s">
        <v>26</v>
      </c>
      <c r="C59" s="120" t="s">
        <v>81</v>
      </c>
      <c r="D59" s="120" t="s">
        <v>402</v>
      </c>
      <c r="E59" s="120" t="s">
        <v>366</v>
      </c>
      <c r="F59" s="124">
        <v>105000</v>
      </c>
      <c r="G59" s="121" t="s">
        <v>149</v>
      </c>
      <c r="H59" s="121" t="s">
        <v>171</v>
      </c>
      <c r="I59" s="121" t="s">
        <v>362</v>
      </c>
      <c r="J59" s="158" t="s">
        <v>828</v>
      </c>
      <c r="K59" s="158" t="s">
        <v>647</v>
      </c>
      <c r="L59" s="158" t="s">
        <v>646</v>
      </c>
      <c r="M59" s="218">
        <v>68639</v>
      </c>
      <c r="N59" s="121" t="s">
        <v>179</v>
      </c>
      <c r="O59" s="13"/>
    </row>
    <row r="60" spans="1:15" s="96" customFormat="1" ht="81" customHeight="1" thickTop="1" thickBot="1" x14ac:dyDescent="0.3">
      <c r="A60" s="126">
        <v>25</v>
      </c>
      <c r="B60" s="121" t="s">
        <v>26</v>
      </c>
      <c r="C60" s="120" t="s">
        <v>81</v>
      </c>
      <c r="D60" s="120" t="s">
        <v>403</v>
      </c>
      <c r="E60" s="120" t="s">
        <v>365</v>
      </c>
      <c r="F60" s="124">
        <v>105000</v>
      </c>
      <c r="G60" s="121" t="s">
        <v>149</v>
      </c>
      <c r="H60" s="121" t="s">
        <v>171</v>
      </c>
      <c r="I60" s="121" t="s">
        <v>362</v>
      </c>
      <c r="J60" s="158" t="s">
        <v>828</v>
      </c>
      <c r="K60" s="158" t="s">
        <v>647</v>
      </c>
      <c r="L60" s="158" t="s">
        <v>646</v>
      </c>
      <c r="M60" s="218">
        <v>69810</v>
      </c>
      <c r="N60" s="121" t="s">
        <v>179</v>
      </c>
      <c r="O60" s="13"/>
    </row>
    <row r="61" spans="1:15" s="96" customFormat="1" ht="80.25" customHeight="1" thickTop="1" thickBot="1" x14ac:dyDescent="0.3">
      <c r="A61" s="126">
        <v>25</v>
      </c>
      <c r="B61" s="121" t="s">
        <v>26</v>
      </c>
      <c r="C61" s="120" t="s">
        <v>81</v>
      </c>
      <c r="D61" s="120" t="s">
        <v>404</v>
      </c>
      <c r="E61" s="120" t="s">
        <v>428</v>
      </c>
      <c r="F61" s="124">
        <v>105000</v>
      </c>
      <c r="G61" s="121" t="s">
        <v>149</v>
      </c>
      <c r="H61" s="121" t="s">
        <v>171</v>
      </c>
      <c r="I61" s="121" t="s">
        <v>362</v>
      </c>
      <c r="J61" s="158" t="s">
        <v>828</v>
      </c>
      <c r="K61" s="158" t="s">
        <v>647</v>
      </c>
      <c r="L61" s="158" t="s">
        <v>646</v>
      </c>
      <c r="M61" s="218">
        <v>69810</v>
      </c>
      <c r="N61" s="121" t="s">
        <v>179</v>
      </c>
      <c r="O61" s="13"/>
    </row>
    <row r="62" spans="1:15" s="96" customFormat="1" ht="65.25" thickTop="1" thickBot="1" x14ac:dyDescent="0.3">
      <c r="A62" s="126">
        <v>25</v>
      </c>
      <c r="B62" s="121" t="s">
        <v>26</v>
      </c>
      <c r="C62" s="120" t="s">
        <v>81</v>
      </c>
      <c r="D62" s="120" t="s">
        <v>406</v>
      </c>
      <c r="E62" s="120" t="s">
        <v>363</v>
      </c>
      <c r="F62" s="124">
        <v>6000000</v>
      </c>
      <c r="G62" s="121" t="s">
        <v>149</v>
      </c>
      <c r="H62" s="121" t="s">
        <v>171</v>
      </c>
      <c r="I62" s="121" t="s">
        <v>362</v>
      </c>
      <c r="J62" s="158" t="s">
        <v>750</v>
      </c>
      <c r="K62" s="157" t="s">
        <v>733</v>
      </c>
      <c r="L62" s="158" t="s">
        <v>639</v>
      </c>
      <c r="M62" s="218">
        <v>0</v>
      </c>
      <c r="N62" s="121" t="s">
        <v>179</v>
      </c>
      <c r="O62" s="13"/>
    </row>
    <row r="63" spans="1:15" s="96" customFormat="1" ht="68.25" customHeight="1" thickTop="1" thickBot="1" x14ac:dyDescent="0.3">
      <c r="A63" s="126">
        <v>25</v>
      </c>
      <c r="B63" s="121" t="s">
        <v>26</v>
      </c>
      <c r="C63" s="120" t="s">
        <v>81</v>
      </c>
      <c r="D63" s="120" t="s">
        <v>405</v>
      </c>
      <c r="E63" s="120" t="s">
        <v>364</v>
      </c>
      <c r="F63" s="124">
        <v>105000</v>
      </c>
      <c r="G63" s="121" t="s">
        <v>149</v>
      </c>
      <c r="H63" s="121" t="s">
        <v>171</v>
      </c>
      <c r="I63" s="121" t="s">
        <v>362</v>
      </c>
      <c r="J63" s="158" t="s">
        <v>828</v>
      </c>
      <c r="K63" s="158" t="s">
        <v>647</v>
      </c>
      <c r="L63" s="158" t="s">
        <v>646</v>
      </c>
      <c r="M63" s="218">
        <v>68639</v>
      </c>
      <c r="N63" s="121" t="s">
        <v>179</v>
      </c>
      <c r="O63" s="13"/>
    </row>
    <row r="64" spans="1:15" s="94" customFormat="1" ht="80.25" customHeight="1" thickTop="1" thickBot="1" x14ac:dyDescent="0.3">
      <c r="A64" s="126">
        <v>34</v>
      </c>
      <c r="B64" s="121" t="s">
        <v>26</v>
      </c>
      <c r="C64" s="120" t="s">
        <v>230</v>
      </c>
      <c r="D64" s="120" t="s">
        <v>550</v>
      </c>
      <c r="E64" s="120" t="s">
        <v>231</v>
      </c>
      <c r="F64" s="124">
        <v>5000000</v>
      </c>
      <c r="G64" s="121" t="s">
        <v>149</v>
      </c>
      <c r="H64" s="121" t="s">
        <v>157</v>
      </c>
      <c r="I64" s="121" t="s">
        <v>549</v>
      </c>
      <c r="J64" s="158" t="s">
        <v>681</v>
      </c>
      <c r="K64" s="157" t="s">
        <v>733</v>
      </c>
      <c r="L64" s="158" t="s">
        <v>648</v>
      </c>
      <c r="M64" s="218" t="s">
        <v>840</v>
      </c>
      <c r="N64" s="121" t="s">
        <v>179</v>
      </c>
      <c r="O64" s="13"/>
    </row>
    <row r="65" spans="1:15" s="112" customFormat="1" ht="96.75" customHeight="1" thickTop="1" thickBot="1" x14ac:dyDescent="0.25">
      <c r="A65" s="126">
        <v>22</v>
      </c>
      <c r="B65" s="121" t="s">
        <v>28</v>
      </c>
      <c r="C65" s="121" t="s">
        <v>424</v>
      </c>
      <c r="D65" s="121" t="s">
        <v>612</v>
      </c>
      <c r="E65" s="121" t="s">
        <v>289</v>
      </c>
      <c r="F65" s="128">
        <v>100000</v>
      </c>
      <c r="G65" s="121" t="s">
        <v>149</v>
      </c>
      <c r="H65" s="121" t="s">
        <v>148</v>
      </c>
      <c r="I65" s="121" t="s">
        <v>93</v>
      </c>
      <c r="J65" s="158" t="s">
        <v>680</v>
      </c>
      <c r="K65" s="158" t="s">
        <v>1</v>
      </c>
      <c r="L65" s="158" t="s">
        <v>1</v>
      </c>
      <c r="M65" s="218" t="s">
        <v>679</v>
      </c>
      <c r="N65" s="121" t="s">
        <v>27</v>
      </c>
    </row>
    <row r="66" spans="1:15" s="94" customFormat="1" ht="83.25" customHeight="1" thickTop="1" thickBot="1" x14ac:dyDescent="0.3">
      <c r="A66" s="126">
        <v>32</v>
      </c>
      <c r="B66" s="121" t="s">
        <v>26</v>
      </c>
      <c r="C66" s="120" t="s">
        <v>189</v>
      </c>
      <c r="D66" s="120" t="s">
        <v>190</v>
      </c>
      <c r="E66" s="120" t="s">
        <v>191</v>
      </c>
      <c r="F66" s="124">
        <v>1500000</v>
      </c>
      <c r="G66" s="125" t="s">
        <v>149</v>
      </c>
      <c r="H66" s="125" t="s">
        <v>157</v>
      </c>
      <c r="I66" s="121" t="s">
        <v>551</v>
      </c>
      <c r="J66" s="158" t="s">
        <v>681</v>
      </c>
      <c r="K66" s="157" t="s">
        <v>733</v>
      </c>
      <c r="L66" s="158" t="s">
        <v>639</v>
      </c>
      <c r="M66" s="218">
        <v>0</v>
      </c>
      <c r="N66" s="121" t="s">
        <v>179</v>
      </c>
      <c r="O66" s="13"/>
    </row>
    <row r="67" spans="1:15" s="94" customFormat="1" ht="83.25" customHeight="1" thickTop="1" thickBot="1" x14ac:dyDescent="0.3">
      <c r="A67" s="126">
        <v>32</v>
      </c>
      <c r="B67" s="121" t="s">
        <v>26</v>
      </c>
      <c r="C67" s="120" t="s">
        <v>189</v>
      </c>
      <c r="D67" s="121" t="s">
        <v>192</v>
      </c>
      <c r="E67" s="120" t="s">
        <v>193</v>
      </c>
      <c r="F67" s="124">
        <v>280000</v>
      </c>
      <c r="G67" s="121" t="s">
        <v>149</v>
      </c>
      <c r="H67" s="121" t="s">
        <v>148</v>
      </c>
      <c r="I67" s="121" t="s">
        <v>541</v>
      </c>
      <c r="J67" s="158" t="s">
        <v>670</v>
      </c>
      <c r="K67" s="157" t="s">
        <v>733</v>
      </c>
      <c r="L67" s="158" t="s">
        <v>639</v>
      </c>
      <c r="M67" s="218">
        <v>0</v>
      </c>
      <c r="N67" s="121" t="s">
        <v>179</v>
      </c>
      <c r="O67" s="13"/>
    </row>
    <row r="68" spans="1:15" s="94" customFormat="1" ht="82.5" customHeight="1" thickTop="1" thickBot="1" x14ac:dyDescent="0.3">
      <c r="A68" s="126">
        <v>32</v>
      </c>
      <c r="B68" s="121" t="s">
        <v>26</v>
      </c>
      <c r="C68" s="120" t="s">
        <v>189</v>
      </c>
      <c r="D68" s="121" t="s">
        <v>194</v>
      </c>
      <c r="E68" s="120" t="s">
        <v>195</v>
      </c>
      <c r="F68" s="124">
        <v>280000</v>
      </c>
      <c r="G68" s="121" t="s">
        <v>149</v>
      </c>
      <c r="H68" s="121" t="s">
        <v>148</v>
      </c>
      <c r="I68" s="121" t="s">
        <v>541</v>
      </c>
      <c r="J68" s="158" t="s">
        <v>670</v>
      </c>
      <c r="K68" s="157" t="s">
        <v>733</v>
      </c>
      <c r="L68" s="158" t="s">
        <v>639</v>
      </c>
      <c r="M68" s="218">
        <v>0</v>
      </c>
      <c r="N68" s="121" t="s">
        <v>179</v>
      </c>
      <c r="O68" s="13"/>
    </row>
    <row r="69" spans="1:15" s="94" customFormat="1" ht="84" customHeight="1" thickTop="1" thickBot="1" x14ac:dyDescent="0.3">
      <c r="A69" s="126">
        <v>32</v>
      </c>
      <c r="B69" s="121" t="s">
        <v>26</v>
      </c>
      <c r="C69" s="120" t="s">
        <v>189</v>
      </c>
      <c r="D69" s="121" t="s">
        <v>430</v>
      </c>
      <c r="E69" s="120" t="s">
        <v>431</v>
      </c>
      <c r="F69" s="124">
        <v>280000</v>
      </c>
      <c r="G69" s="121" t="s">
        <v>149</v>
      </c>
      <c r="H69" s="121" t="s">
        <v>148</v>
      </c>
      <c r="I69" s="121" t="s">
        <v>541</v>
      </c>
      <c r="J69" s="158" t="s">
        <v>670</v>
      </c>
      <c r="K69" s="157" t="s">
        <v>733</v>
      </c>
      <c r="L69" s="158" t="s">
        <v>639</v>
      </c>
      <c r="M69" s="218">
        <v>0</v>
      </c>
      <c r="N69" s="121" t="s">
        <v>179</v>
      </c>
      <c r="O69" s="13"/>
    </row>
    <row r="70" spans="1:15" s="94" customFormat="1" ht="82.5" customHeight="1" thickTop="1" thickBot="1" x14ac:dyDescent="0.3">
      <c r="A70" s="126">
        <v>32</v>
      </c>
      <c r="B70" s="121" t="s">
        <v>26</v>
      </c>
      <c r="C70" s="120" t="s">
        <v>189</v>
      </c>
      <c r="D70" s="121" t="s">
        <v>197</v>
      </c>
      <c r="E70" s="120" t="s">
        <v>198</v>
      </c>
      <c r="F70" s="124">
        <v>280000</v>
      </c>
      <c r="G70" s="121" t="s">
        <v>149</v>
      </c>
      <c r="H70" s="121" t="s">
        <v>148</v>
      </c>
      <c r="I70" s="121" t="s">
        <v>541</v>
      </c>
      <c r="J70" s="158" t="s">
        <v>670</v>
      </c>
      <c r="K70" s="157" t="s">
        <v>733</v>
      </c>
      <c r="L70" s="158" t="s">
        <v>639</v>
      </c>
      <c r="M70" s="218">
        <v>0</v>
      </c>
      <c r="N70" s="121" t="s">
        <v>179</v>
      </c>
      <c r="O70" s="13"/>
    </row>
    <row r="71" spans="1:15" s="94" customFormat="1" ht="90.75" thickTop="1" thickBot="1" x14ac:dyDescent="0.3">
      <c r="A71" s="126">
        <v>32</v>
      </c>
      <c r="B71" s="121" t="s">
        <v>26</v>
      </c>
      <c r="C71" s="120" t="s">
        <v>189</v>
      </c>
      <c r="D71" s="121" t="s">
        <v>199</v>
      </c>
      <c r="E71" s="120" t="s">
        <v>200</v>
      </c>
      <c r="F71" s="124">
        <v>280000</v>
      </c>
      <c r="G71" s="121" t="s">
        <v>149</v>
      </c>
      <c r="H71" s="121" t="s">
        <v>148</v>
      </c>
      <c r="I71" s="121" t="s">
        <v>541</v>
      </c>
      <c r="J71" s="158" t="s">
        <v>670</v>
      </c>
      <c r="K71" s="157" t="s">
        <v>733</v>
      </c>
      <c r="L71" s="158" t="s">
        <v>639</v>
      </c>
      <c r="M71" s="218">
        <v>0</v>
      </c>
      <c r="N71" s="121" t="s">
        <v>179</v>
      </c>
      <c r="O71" s="13"/>
    </row>
    <row r="72" spans="1:15" s="94" customFormat="1" ht="78" customHeight="1" thickTop="1" thickBot="1" x14ac:dyDescent="0.3">
      <c r="A72" s="126">
        <v>32</v>
      </c>
      <c r="B72" s="121" t="s">
        <v>26</v>
      </c>
      <c r="C72" s="120" t="s">
        <v>189</v>
      </c>
      <c r="D72" s="121" t="s">
        <v>201</v>
      </c>
      <c r="E72" s="120" t="s">
        <v>202</v>
      </c>
      <c r="F72" s="124">
        <v>280000</v>
      </c>
      <c r="G72" s="121" t="s">
        <v>149</v>
      </c>
      <c r="H72" s="121" t="s">
        <v>148</v>
      </c>
      <c r="I72" s="121" t="s">
        <v>541</v>
      </c>
      <c r="J72" s="158" t="s">
        <v>670</v>
      </c>
      <c r="K72" s="157" t="s">
        <v>733</v>
      </c>
      <c r="L72" s="158" t="s">
        <v>639</v>
      </c>
      <c r="M72" s="218">
        <v>0</v>
      </c>
      <c r="N72" s="121" t="s">
        <v>179</v>
      </c>
      <c r="O72" s="13"/>
    </row>
    <row r="73" spans="1:15" s="147" customFormat="1" ht="87.75" customHeight="1" thickTop="1" thickBot="1" x14ac:dyDescent="0.3">
      <c r="A73" s="148">
        <v>32</v>
      </c>
      <c r="B73" s="149" t="s">
        <v>26</v>
      </c>
      <c r="C73" s="149" t="s">
        <v>189</v>
      </c>
      <c r="D73" s="149" t="s">
        <v>552</v>
      </c>
      <c r="E73" s="150" t="s">
        <v>389</v>
      </c>
      <c r="F73" s="151">
        <v>2400000</v>
      </c>
      <c r="G73" s="121" t="s">
        <v>149</v>
      </c>
      <c r="H73" s="121" t="s">
        <v>148</v>
      </c>
      <c r="I73" s="121" t="s">
        <v>541</v>
      </c>
      <c r="J73" s="158" t="s">
        <v>670</v>
      </c>
      <c r="K73" s="158" t="s">
        <v>650</v>
      </c>
      <c r="L73" s="158" t="s">
        <v>639</v>
      </c>
      <c r="M73" s="218">
        <v>0</v>
      </c>
      <c r="N73" s="149" t="s">
        <v>179</v>
      </c>
    </row>
    <row r="74" spans="1:15" s="13" customFormat="1" ht="92.25" customHeight="1" thickTop="1" thickBot="1" x14ac:dyDescent="0.3">
      <c r="A74" s="126">
        <v>34</v>
      </c>
      <c r="B74" s="121" t="s">
        <v>26</v>
      </c>
      <c r="C74" s="121" t="s">
        <v>218</v>
      </c>
      <c r="D74" s="121" t="s">
        <v>543</v>
      </c>
      <c r="E74" s="121" t="s">
        <v>422</v>
      </c>
      <c r="F74" s="129">
        <v>500000</v>
      </c>
      <c r="G74" s="121" t="s">
        <v>149</v>
      </c>
      <c r="H74" s="121" t="s">
        <v>148</v>
      </c>
      <c r="I74" s="121" t="s">
        <v>541</v>
      </c>
      <c r="J74" s="158" t="s">
        <v>670</v>
      </c>
      <c r="K74" s="157" t="s">
        <v>733</v>
      </c>
      <c r="L74" s="158" t="s">
        <v>656</v>
      </c>
      <c r="M74" s="218">
        <v>0</v>
      </c>
      <c r="N74" s="121" t="s">
        <v>27</v>
      </c>
    </row>
    <row r="75" spans="1:15" s="13" customFormat="1" ht="81.75" customHeight="1" thickTop="1" thickBot="1" x14ac:dyDescent="0.3">
      <c r="A75" s="126">
        <v>34</v>
      </c>
      <c r="B75" s="121" t="s">
        <v>26</v>
      </c>
      <c r="C75" s="121" t="s">
        <v>218</v>
      </c>
      <c r="D75" s="121" t="s">
        <v>631</v>
      </c>
      <c r="E75" s="158" t="s">
        <v>176</v>
      </c>
      <c r="F75" s="175">
        <v>700000</v>
      </c>
      <c r="G75" s="158" t="s">
        <v>149</v>
      </c>
      <c r="H75" s="158" t="s">
        <v>148</v>
      </c>
      <c r="I75" s="158" t="s">
        <v>629</v>
      </c>
      <c r="J75" s="158" t="s">
        <v>677</v>
      </c>
      <c r="K75" s="158" t="s">
        <v>655</v>
      </c>
      <c r="L75" s="158" t="s">
        <v>654</v>
      </c>
      <c r="M75" s="218">
        <v>0</v>
      </c>
      <c r="N75" s="121" t="s">
        <v>27</v>
      </c>
    </row>
    <row r="76" spans="1:15" s="13" customFormat="1" ht="89.25" customHeight="1" thickTop="1" thickBot="1" x14ac:dyDescent="0.3">
      <c r="A76" s="126">
        <v>34</v>
      </c>
      <c r="B76" s="121" t="s">
        <v>26</v>
      </c>
      <c r="C76" s="121" t="s">
        <v>218</v>
      </c>
      <c r="D76" s="121" t="s">
        <v>632</v>
      </c>
      <c r="E76" s="158" t="s">
        <v>423</v>
      </c>
      <c r="F76" s="175">
        <v>1600000</v>
      </c>
      <c r="G76" s="158" t="s">
        <v>149</v>
      </c>
      <c r="H76" s="158" t="s">
        <v>157</v>
      </c>
      <c r="I76" s="158" t="s">
        <v>630</v>
      </c>
      <c r="J76" s="158" t="s">
        <v>678</v>
      </c>
      <c r="K76" s="157" t="s">
        <v>733</v>
      </c>
      <c r="L76" s="158" t="s">
        <v>652</v>
      </c>
      <c r="M76" s="218">
        <v>0</v>
      </c>
      <c r="N76" s="121" t="s">
        <v>27</v>
      </c>
    </row>
    <row r="77" spans="1:15" s="94" customFormat="1" ht="81.75" customHeight="1" thickTop="1" thickBot="1" x14ac:dyDescent="0.3">
      <c r="A77" s="126">
        <v>34</v>
      </c>
      <c r="B77" s="121" t="s">
        <v>26</v>
      </c>
      <c r="C77" s="120" t="s">
        <v>218</v>
      </c>
      <c r="D77" s="120" t="s">
        <v>613</v>
      </c>
      <c r="E77" s="120" t="s">
        <v>219</v>
      </c>
      <c r="F77" s="124">
        <v>500000</v>
      </c>
      <c r="G77" s="121" t="s">
        <v>149</v>
      </c>
      <c r="H77" s="121" t="s">
        <v>148</v>
      </c>
      <c r="I77" s="121" t="s">
        <v>541</v>
      </c>
      <c r="J77" s="158" t="s">
        <v>670</v>
      </c>
      <c r="K77" s="157" t="s">
        <v>733</v>
      </c>
      <c r="L77" s="158" t="s">
        <v>639</v>
      </c>
      <c r="M77" s="218">
        <v>0</v>
      </c>
      <c r="N77" s="121" t="s">
        <v>179</v>
      </c>
      <c r="O77" s="13"/>
    </row>
    <row r="78" spans="1:15" s="94" customFormat="1" ht="76.5" customHeight="1" thickTop="1" thickBot="1" x14ac:dyDescent="0.3">
      <c r="A78" s="126">
        <v>34</v>
      </c>
      <c r="B78" s="121" t="s">
        <v>26</v>
      </c>
      <c r="C78" s="120" t="s">
        <v>218</v>
      </c>
      <c r="D78" s="120" t="s">
        <v>614</v>
      </c>
      <c r="E78" s="120" t="s">
        <v>220</v>
      </c>
      <c r="F78" s="124">
        <v>500000</v>
      </c>
      <c r="G78" s="121" t="s">
        <v>149</v>
      </c>
      <c r="H78" s="121" t="s">
        <v>148</v>
      </c>
      <c r="I78" s="121" t="s">
        <v>541</v>
      </c>
      <c r="J78" s="158" t="s">
        <v>670</v>
      </c>
      <c r="K78" s="157" t="s">
        <v>733</v>
      </c>
      <c r="L78" s="158" t="s">
        <v>639</v>
      </c>
      <c r="M78" s="218">
        <v>0</v>
      </c>
      <c r="N78" s="121" t="s">
        <v>179</v>
      </c>
      <c r="O78" s="13"/>
    </row>
    <row r="79" spans="1:15" s="94" customFormat="1" ht="75.75" customHeight="1" thickTop="1" thickBot="1" x14ac:dyDescent="0.3">
      <c r="A79" s="126">
        <v>34</v>
      </c>
      <c r="B79" s="121" t="s">
        <v>26</v>
      </c>
      <c r="C79" s="120" t="s">
        <v>218</v>
      </c>
      <c r="D79" s="120" t="s">
        <v>615</v>
      </c>
      <c r="E79" s="120" t="s">
        <v>221</v>
      </c>
      <c r="F79" s="124">
        <v>320000</v>
      </c>
      <c r="G79" s="121" t="s">
        <v>149</v>
      </c>
      <c r="H79" s="121" t="s">
        <v>148</v>
      </c>
      <c r="I79" s="121" t="s">
        <v>541</v>
      </c>
      <c r="J79" s="158" t="s">
        <v>670</v>
      </c>
      <c r="K79" s="157" t="s">
        <v>733</v>
      </c>
      <c r="L79" s="158" t="s">
        <v>639</v>
      </c>
      <c r="M79" s="218">
        <v>0</v>
      </c>
      <c r="N79" s="121" t="s">
        <v>179</v>
      </c>
      <c r="O79" s="13"/>
    </row>
    <row r="80" spans="1:15" s="94" customFormat="1" ht="78" customHeight="1" thickTop="1" thickBot="1" x14ac:dyDescent="0.3">
      <c r="A80" s="126">
        <v>34</v>
      </c>
      <c r="B80" s="121" t="s">
        <v>26</v>
      </c>
      <c r="C80" s="120" t="s">
        <v>218</v>
      </c>
      <c r="D80" s="120" t="s">
        <v>616</v>
      </c>
      <c r="E80" s="120" t="s">
        <v>222</v>
      </c>
      <c r="F80" s="124">
        <v>320000</v>
      </c>
      <c r="G80" s="121" t="s">
        <v>149</v>
      </c>
      <c r="H80" s="121" t="s">
        <v>148</v>
      </c>
      <c r="I80" s="121" t="s">
        <v>541</v>
      </c>
      <c r="J80" s="158" t="s">
        <v>670</v>
      </c>
      <c r="K80" s="157" t="s">
        <v>733</v>
      </c>
      <c r="L80" s="158" t="s">
        <v>639</v>
      </c>
      <c r="M80" s="218">
        <v>0</v>
      </c>
      <c r="N80" s="121" t="s">
        <v>179</v>
      </c>
      <c r="O80" s="13"/>
    </row>
    <row r="81" spans="1:15" s="94" customFormat="1" ht="78" thickTop="1" thickBot="1" x14ac:dyDescent="0.3">
      <c r="A81" s="126">
        <v>34</v>
      </c>
      <c r="B81" s="121" t="s">
        <v>26</v>
      </c>
      <c r="C81" s="120" t="s">
        <v>218</v>
      </c>
      <c r="D81" s="120" t="s">
        <v>617</v>
      </c>
      <c r="E81" s="120" t="s">
        <v>224</v>
      </c>
      <c r="F81" s="124">
        <v>320000</v>
      </c>
      <c r="G81" s="121" t="s">
        <v>149</v>
      </c>
      <c r="H81" s="121" t="s">
        <v>148</v>
      </c>
      <c r="I81" s="121" t="s">
        <v>541</v>
      </c>
      <c r="J81" s="158" t="s">
        <v>670</v>
      </c>
      <c r="K81" s="157" t="s">
        <v>733</v>
      </c>
      <c r="L81" s="158" t="s">
        <v>639</v>
      </c>
      <c r="M81" s="218">
        <v>0</v>
      </c>
      <c r="N81" s="121" t="s">
        <v>179</v>
      </c>
      <c r="O81" s="13"/>
    </row>
    <row r="82" spans="1:15" s="94" customFormat="1" ht="77.25" customHeight="1" thickTop="1" thickBot="1" x14ac:dyDescent="0.3">
      <c r="A82" s="126">
        <v>34</v>
      </c>
      <c r="B82" s="121" t="s">
        <v>26</v>
      </c>
      <c r="C82" s="120" t="s">
        <v>218</v>
      </c>
      <c r="D82" s="120" t="s">
        <v>618</v>
      </c>
      <c r="E82" s="120" t="s">
        <v>223</v>
      </c>
      <c r="F82" s="124">
        <v>320000</v>
      </c>
      <c r="G82" s="121" t="s">
        <v>149</v>
      </c>
      <c r="H82" s="121" t="s">
        <v>148</v>
      </c>
      <c r="I82" s="121" t="s">
        <v>541</v>
      </c>
      <c r="J82" s="158" t="s">
        <v>670</v>
      </c>
      <c r="K82" s="157" t="s">
        <v>733</v>
      </c>
      <c r="L82" s="158" t="s">
        <v>639</v>
      </c>
      <c r="M82" s="218">
        <v>0</v>
      </c>
      <c r="N82" s="121" t="s">
        <v>179</v>
      </c>
      <c r="O82" s="13"/>
    </row>
    <row r="83" spans="1:15" s="94" customFormat="1" ht="84" customHeight="1" thickTop="1" thickBot="1" x14ac:dyDescent="0.3">
      <c r="A83" s="126">
        <v>31</v>
      </c>
      <c r="B83" s="121" t="s">
        <v>26</v>
      </c>
      <c r="C83" s="121" t="s">
        <v>218</v>
      </c>
      <c r="D83" s="121" t="s">
        <v>544</v>
      </c>
      <c r="E83" s="125" t="s">
        <v>393</v>
      </c>
      <c r="F83" s="129">
        <v>550000</v>
      </c>
      <c r="G83" s="121" t="s">
        <v>149</v>
      </c>
      <c r="H83" s="121" t="s">
        <v>157</v>
      </c>
      <c r="I83" s="121" t="s">
        <v>89</v>
      </c>
      <c r="J83" s="158" t="s">
        <v>676</v>
      </c>
      <c r="K83" s="157" t="s">
        <v>733</v>
      </c>
      <c r="L83" s="158" t="s">
        <v>639</v>
      </c>
      <c r="M83" s="218">
        <v>0</v>
      </c>
      <c r="N83" s="121" t="s">
        <v>179</v>
      </c>
      <c r="O83" s="13"/>
    </row>
    <row r="84" spans="1:15" s="94" customFormat="1" ht="92.25" customHeight="1" thickTop="1" thickBot="1" x14ac:dyDescent="0.3">
      <c r="A84" s="126">
        <v>31</v>
      </c>
      <c r="B84" s="121" t="s">
        <v>26</v>
      </c>
      <c r="C84" s="121" t="s">
        <v>218</v>
      </c>
      <c r="D84" s="121" t="s">
        <v>545</v>
      </c>
      <c r="E84" s="125" t="s">
        <v>350</v>
      </c>
      <c r="F84" s="129">
        <v>550000</v>
      </c>
      <c r="G84" s="121" t="s">
        <v>149</v>
      </c>
      <c r="H84" s="121" t="s">
        <v>157</v>
      </c>
      <c r="I84" s="121" t="s">
        <v>89</v>
      </c>
      <c r="J84" s="158" t="s">
        <v>676</v>
      </c>
      <c r="K84" s="157" t="s">
        <v>733</v>
      </c>
      <c r="L84" s="158" t="s">
        <v>639</v>
      </c>
      <c r="M84" s="218">
        <v>0</v>
      </c>
      <c r="N84" s="121" t="s">
        <v>179</v>
      </c>
      <c r="O84" s="13"/>
    </row>
    <row r="85" spans="1:15" s="94" customFormat="1" ht="83.25" customHeight="1" thickTop="1" thickBot="1" x14ac:dyDescent="0.3">
      <c r="A85" s="126">
        <v>31</v>
      </c>
      <c r="B85" s="121" t="s">
        <v>26</v>
      </c>
      <c r="C85" s="121" t="s">
        <v>218</v>
      </c>
      <c r="D85" s="121" t="s">
        <v>546</v>
      </c>
      <c r="E85" s="125" t="s">
        <v>348</v>
      </c>
      <c r="F85" s="129">
        <v>550000</v>
      </c>
      <c r="G85" s="121" t="s">
        <v>149</v>
      </c>
      <c r="H85" s="121" t="s">
        <v>157</v>
      </c>
      <c r="I85" s="121" t="s">
        <v>89</v>
      </c>
      <c r="J85" s="158" t="s">
        <v>676</v>
      </c>
      <c r="K85" s="157" t="s">
        <v>733</v>
      </c>
      <c r="L85" s="158" t="s">
        <v>639</v>
      </c>
      <c r="M85" s="218">
        <v>0</v>
      </c>
      <c r="N85" s="121" t="s">
        <v>179</v>
      </c>
      <c r="O85" s="13"/>
    </row>
    <row r="86" spans="1:15" s="94" customFormat="1" ht="92.25" customHeight="1" thickTop="1" thickBot="1" x14ac:dyDescent="0.3">
      <c r="A86" s="126">
        <v>31</v>
      </c>
      <c r="B86" s="121" t="s">
        <v>26</v>
      </c>
      <c r="C86" s="121" t="s">
        <v>218</v>
      </c>
      <c r="D86" s="121" t="s">
        <v>619</v>
      </c>
      <c r="E86" s="125" t="s">
        <v>349</v>
      </c>
      <c r="F86" s="129">
        <v>550000</v>
      </c>
      <c r="G86" s="121" t="s">
        <v>149</v>
      </c>
      <c r="H86" s="121" t="s">
        <v>157</v>
      </c>
      <c r="I86" s="121" t="s">
        <v>89</v>
      </c>
      <c r="J86" s="158" t="s">
        <v>676</v>
      </c>
      <c r="K86" s="157" t="s">
        <v>733</v>
      </c>
      <c r="L86" s="158" t="s">
        <v>639</v>
      </c>
      <c r="M86" s="218">
        <v>0</v>
      </c>
      <c r="N86" s="121" t="s">
        <v>179</v>
      </c>
      <c r="O86" s="13"/>
    </row>
    <row r="87" spans="1:15" s="94" customFormat="1" ht="78" thickTop="1" thickBot="1" x14ac:dyDescent="0.3">
      <c r="A87" s="126">
        <v>34</v>
      </c>
      <c r="B87" s="121" t="s">
        <v>26</v>
      </c>
      <c r="C87" s="120" t="s">
        <v>218</v>
      </c>
      <c r="D87" s="120" t="s">
        <v>228</v>
      </c>
      <c r="E87" s="120" t="s">
        <v>229</v>
      </c>
      <c r="F87" s="124">
        <v>5000000</v>
      </c>
      <c r="G87" s="121" t="s">
        <v>149</v>
      </c>
      <c r="H87" s="121" t="s">
        <v>148</v>
      </c>
      <c r="I87" s="121" t="s">
        <v>209</v>
      </c>
      <c r="J87" s="158" t="s">
        <v>675</v>
      </c>
      <c r="K87" s="157" t="s">
        <v>733</v>
      </c>
      <c r="L87" s="158" t="s">
        <v>639</v>
      </c>
      <c r="M87" s="218">
        <v>0</v>
      </c>
      <c r="N87" s="121" t="s">
        <v>179</v>
      </c>
      <c r="O87" s="13"/>
    </row>
    <row r="88" spans="1:15" s="94" customFormat="1" ht="84" customHeight="1" thickTop="1" thickBot="1" x14ac:dyDescent="0.3">
      <c r="A88" s="126">
        <v>32</v>
      </c>
      <c r="B88" s="121" t="s">
        <v>26</v>
      </c>
      <c r="C88" s="121" t="s">
        <v>187</v>
      </c>
      <c r="D88" s="121" t="s">
        <v>407</v>
      </c>
      <c r="E88" s="120" t="s">
        <v>360</v>
      </c>
      <c r="F88" s="124">
        <v>80000</v>
      </c>
      <c r="G88" s="121" t="s">
        <v>149</v>
      </c>
      <c r="H88" s="125" t="s">
        <v>157</v>
      </c>
      <c r="I88" s="121" t="s">
        <v>361</v>
      </c>
      <c r="J88" s="158" t="s">
        <v>674</v>
      </c>
      <c r="K88" s="157" t="s">
        <v>733</v>
      </c>
      <c r="L88" s="158" t="s">
        <v>657</v>
      </c>
      <c r="M88" s="218">
        <v>0</v>
      </c>
      <c r="N88" s="121" t="s">
        <v>27</v>
      </c>
      <c r="O88" s="13"/>
    </row>
    <row r="89" spans="1:15" ht="15.75" thickTop="1" x14ac:dyDescent="0.25"/>
  </sheetData>
  <mergeCells count="12">
    <mergeCell ref="I2:I3"/>
    <mergeCell ref="J2:J3"/>
    <mergeCell ref="N2:N3"/>
    <mergeCell ref="A1:N1"/>
    <mergeCell ref="A2:A3"/>
    <mergeCell ref="B2:B3"/>
    <mergeCell ref="C2:C3"/>
    <mergeCell ref="D2:D3"/>
    <mergeCell ref="E2:E3"/>
    <mergeCell ref="F2:F3"/>
    <mergeCell ref="G2:G3"/>
    <mergeCell ref="H2:H3"/>
  </mergeCells>
  <pageMargins left="0.70866141732283505" right="0.70866141732283505" top="0.74803149606299202" bottom="0.74803149606299202" header="0.31496062992126" footer="0.31496062992126"/>
  <pageSetup paperSize="9" scale="60" fitToHeight="0" orientation="landscape" r:id="rId1"/>
  <headerFooter>
    <oddFooter>&amp;C&amp;P</oddFooter>
  </headerFooter>
  <rowBreaks count="1" manualBreakCount="1">
    <brk id="42" max="16383" man="1"/>
  </rowBreaks>
  <colBreaks count="1" manualBreakCount="1">
    <brk id="14"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N33"/>
  <sheetViews>
    <sheetView view="pageBreakPreview" topLeftCell="D25" zoomScale="90" zoomScaleNormal="100" zoomScaleSheetLayoutView="90" workbookViewId="0">
      <selection activeCell="D17" sqref="D17"/>
    </sheetView>
  </sheetViews>
  <sheetFormatPr defaultRowHeight="12.75" x14ac:dyDescent="0.2"/>
  <cols>
    <col min="1" max="1" width="5.5703125" style="40" customWidth="1"/>
    <col min="2" max="2" width="10.42578125" style="38" customWidth="1"/>
    <col min="3" max="3" width="13.140625" style="38" customWidth="1"/>
    <col min="4" max="4" width="15.42578125" style="38" customWidth="1"/>
    <col min="5" max="5" width="13.42578125" style="38" customWidth="1"/>
    <col min="6" max="6" width="11.7109375" style="40" bestFit="1" customWidth="1"/>
    <col min="7" max="7" width="11.5703125" style="38" customWidth="1"/>
    <col min="8" max="9" width="12.140625" style="38" customWidth="1"/>
    <col min="10" max="10" width="14.28515625" style="38" customWidth="1"/>
    <col min="11" max="11" width="13.42578125" style="38" customWidth="1"/>
    <col min="12" max="12" width="15.28515625" style="38" customWidth="1"/>
    <col min="13" max="13" width="13.42578125" style="222" customWidth="1"/>
    <col min="14" max="14" width="13.42578125" style="38" customWidth="1"/>
    <col min="15" max="257" width="9.140625" style="38"/>
    <col min="258" max="258" width="5.5703125" style="38" customWidth="1"/>
    <col min="259" max="259" width="9.140625" style="38"/>
    <col min="260" max="260" width="10.28515625" style="38" customWidth="1"/>
    <col min="261" max="261" width="15.42578125" style="38" customWidth="1"/>
    <col min="262" max="262" width="12" style="38" customWidth="1"/>
    <col min="263" max="263" width="11.7109375" style="38" bestFit="1" customWidth="1"/>
    <col min="264" max="264" width="9.140625" style="38"/>
    <col min="265" max="265" width="10" style="38" customWidth="1"/>
    <col min="266" max="266" width="15.28515625" style="38" customWidth="1"/>
    <col min="267" max="267" width="12.140625" style="38" customWidth="1"/>
    <col min="268" max="268" width="12.5703125" style="38" customWidth="1"/>
    <col min="269" max="269" width="12.85546875" style="38" customWidth="1"/>
    <col min="270" max="513" width="9.140625" style="38"/>
    <col min="514" max="514" width="5.5703125" style="38" customWidth="1"/>
    <col min="515" max="515" width="9.140625" style="38"/>
    <col min="516" max="516" width="10.28515625" style="38" customWidth="1"/>
    <col min="517" max="517" width="15.42578125" style="38" customWidth="1"/>
    <col min="518" max="518" width="12" style="38" customWidth="1"/>
    <col min="519" max="519" width="11.7109375" style="38" bestFit="1" customWidth="1"/>
    <col min="520" max="520" width="9.140625" style="38"/>
    <col min="521" max="521" width="10" style="38" customWidth="1"/>
    <col min="522" max="522" width="15.28515625" style="38" customWidth="1"/>
    <col min="523" max="523" width="12.140625" style="38" customWidth="1"/>
    <col min="524" max="524" width="12.5703125" style="38" customWidth="1"/>
    <col min="525" max="525" width="12.85546875" style="38" customWidth="1"/>
    <col min="526" max="769" width="9.140625" style="38"/>
    <col min="770" max="770" width="5.5703125" style="38" customWidth="1"/>
    <col min="771" max="771" width="9.140625" style="38"/>
    <col min="772" max="772" width="10.28515625" style="38" customWidth="1"/>
    <col min="773" max="773" width="15.42578125" style="38" customWidth="1"/>
    <col min="774" max="774" width="12" style="38" customWidth="1"/>
    <col min="775" max="775" width="11.7109375" style="38" bestFit="1" customWidth="1"/>
    <col min="776" max="776" width="9.140625" style="38"/>
    <col min="777" max="777" width="10" style="38" customWidth="1"/>
    <col min="778" max="778" width="15.28515625" style="38" customWidth="1"/>
    <col min="779" max="779" width="12.140625" style="38" customWidth="1"/>
    <col min="780" max="780" width="12.5703125" style="38" customWidth="1"/>
    <col min="781" max="781" width="12.85546875" style="38" customWidth="1"/>
    <col min="782" max="1025" width="9.140625" style="38"/>
    <col min="1026" max="1026" width="5.5703125" style="38" customWidth="1"/>
    <col min="1027" max="1027" width="9.140625" style="38"/>
    <col min="1028" max="1028" width="10.28515625" style="38" customWidth="1"/>
    <col min="1029" max="1029" width="15.42578125" style="38" customWidth="1"/>
    <col min="1030" max="1030" width="12" style="38" customWidth="1"/>
    <col min="1031" max="1031" width="11.7109375" style="38" bestFit="1" customWidth="1"/>
    <col min="1032" max="1032" width="9.140625" style="38"/>
    <col min="1033" max="1033" width="10" style="38" customWidth="1"/>
    <col min="1034" max="1034" width="15.28515625" style="38" customWidth="1"/>
    <col min="1035" max="1035" width="12.140625" style="38" customWidth="1"/>
    <col min="1036" max="1036" width="12.5703125" style="38" customWidth="1"/>
    <col min="1037" max="1037" width="12.85546875" style="38" customWidth="1"/>
    <col min="1038" max="1281" width="9.140625" style="38"/>
    <col min="1282" max="1282" width="5.5703125" style="38" customWidth="1"/>
    <col min="1283" max="1283" width="9.140625" style="38"/>
    <col min="1284" max="1284" width="10.28515625" style="38" customWidth="1"/>
    <col min="1285" max="1285" width="15.42578125" style="38" customWidth="1"/>
    <col min="1286" max="1286" width="12" style="38" customWidth="1"/>
    <col min="1287" max="1287" width="11.7109375" style="38" bestFit="1" customWidth="1"/>
    <col min="1288" max="1288" width="9.140625" style="38"/>
    <col min="1289" max="1289" width="10" style="38" customWidth="1"/>
    <col min="1290" max="1290" width="15.28515625" style="38" customWidth="1"/>
    <col min="1291" max="1291" width="12.140625" style="38" customWidth="1"/>
    <col min="1292" max="1292" width="12.5703125" style="38" customWidth="1"/>
    <col min="1293" max="1293" width="12.85546875" style="38" customWidth="1"/>
    <col min="1294" max="1537" width="9.140625" style="38"/>
    <col min="1538" max="1538" width="5.5703125" style="38" customWidth="1"/>
    <col min="1539" max="1539" width="9.140625" style="38"/>
    <col min="1540" max="1540" width="10.28515625" style="38" customWidth="1"/>
    <col min="1541" max="1541" width="15.42578125" style="38" customWidth="1"/>
    <col min="1542" max="1542" width="12" style="38" customWidth="1"/>
    <col min="1543" max="1543" width="11.7109375" style="38" bestFit="1" customWidth="1"/>
    <col min="1544" max="1544" width="9.140625" style="38"/>
    <col min="1545" max="1545" width="10" style="38" customWidth="1"/>
    <col min="1546" max="1546" width="15.28515625" style="38" customWidth="1"/>
    <col min="1547" max="1547" width="12.140625" style="38" customWidth="1"/>
    <col min="1548" max="1548" width="12.5703125" style="38" customWidth="1"/>
    <col min="1549" max="1549" width="12.85546875" style="38" customWidth="1"/>
    <col min="1550" max="1793" width="9.140625" style="38"/>
    <col min="1794" max="1794" width="5.5703125" style="38" customWidth="1"/>
    <col min="1795" max="1795" width="9.140625" style="38"/>
    <col min="1796" max="1796" width="10.28515625" style="38" customWidth="1"/>
    <col min="1797" max="1797" width="15.42578125" style="38" customWidth="1"/>
    <col min="1798" max="1798" width="12" style="38" customWidth="1"/>
    <col min="1799" max="1799" width="11.7109375" style="38" bestFit="1" customWidth="1"/>
    <col min="1800" max="1800" width="9.140625" style="38"/>
    <col min="1801" max="1801" width="10" style="38" customWidth="1"/>
    <col min="1802" max="1802" width="15.28515625" style="38" customWidth="1"/>
    <col min="1803" max="1803" width="12.140625" style="38" customWidth="1"/>
    <col min="1804" max="1804" width="12.5703125" style="38" customWidth="1"/>
    <col min="1805" max="1805" width="12.85546875" style="38" customWidth="1"/>
    <col min="1806" max="2049" width="9.140625" style="38"/>
    <col min="2050" max="2050" width="5.5703125" style="38" customWidth="1"/>
    <col min="2051" max="2051" width="9.140625" style="38"/>
    <col min="2052" max="2052" width="10.28515625" style="38" customWidth="1"/>
    <col min="2053" max="2053" width="15.42578125" style="38" customWidth="1"/>
    <col min="2054" max="2054" width="12" style="38" customWidth="1"/>
    <col min="2055" max="2055" width="11.7109375" style="38" bestFit="1" customWidth="1"/>
    <col min="2056" max="2056" width="9.140625" style="38"/>
    <col min="2057" max="2057" width="10" style="38" customWidth="1"/>
    <col min="2058" max="2058" width="15.28515625" style="38" customWidth="1"/>
    <col min="2059" max="2059" width="12.140625" style="38" customWidth="1"/>
    <col min="2060" max="2060" width="12.5703125" style="38" customWidth="1"/>
    <col min="2061" max="2061" width="12.85546875" style="38" customWidth="1"/>
    <col min="2062" max="2305" width="9.140625" style="38"/>
    <col min="2306" max="2306" width="5.5703125" style="38" customWidth="1"/>
    <col min="2307" max="2307" width="9.140625" style="38"/>
    <col min="2308" max="2308" width="10.28515625" style="38" customWidth="1"/>
    <col min="2309" max="2309" width="15.42578125" style="38" customWidth="1"/>
    <col min="2310" max="2310" width="12" style="38" customWidth="1"/>
    <col min="2311" max="2311" width="11.7109375" style="38" bestFit="1" customWidth="1"/>
    <col min="2312" max="2312" width="9.140625" style="38"/>
    <col min="2313" max="2313" width="10" style="38" customWidth="1"/>
    <col min="2314" max="2314" width="15.28515625" style="38" customWidth="1"/>
    <col min="2315" max="2315" width="12.140625" style="38" customWidth="1"/>
    <col min="2316" max="2316" width="12.5703125" style="38" customWidth="1"/>
    <col min="2317" max="2317" width="12.85546875" style="38" customWidth="1"/>
    <col min="2318" max="2561" width="9.140625" style="38"/>
    <col min="2562" max="2562" width="5.5703125" style="38" customWidth="1"/>
    <col min="2563" max="2563" width="9.140625" style="38"/>
    <col min="2564" max="2564" width="10.28515625" style="38" customWidth="1"/>
    <col min="2565" max="2565" width="15.42578125" style="38" customWidth="1"/>
    <col min="2566" max="2566" width="12" style="38" customWidth="1"/>
    <col min="2567" max="2567" width="11.7109375" style="38" bestFit="1" customWidth="1"/>
    <col min="2568" max="2568" width="9.140625" style="38"/>
    <col min="2569" max="2569" width="10" style="38" customWidth="1"/>
    <col min="2570" max="2570" width="15.28515625" style="38" customWidth="1"/>
    <col min="2571" max="2571" width="12.140625" style="38" customWidth="1"/>
    <col min="2572" max="2572" width="12.5703125" style="38" customWidth="1"/>
    <col min="2573" max="2573" width="12.85546875" style="38" customWidth="1"/>
    <col min="2574" max="2817" width="9.140625" style="38"/>
    <col min="2818" max="2818" width="5.5703125" style="38" customWidth="1"/>
    <col min="2819" max="2819" width="9.140625" style="38"/>
    <col min="2820" max="2820" width="10.28515625" style="38" customWidth="1"/>
    <col min="2821" max="2821" width="15.42578125" style="38" customWidth="1"/>
    <col min="2822" max="2822" width="12" style="38" customWidth="1"/>
    <col min="2823" max="2823" width="11.7109375" style="38" bestFit="1" customWidth="1"/>
    <col min="2824" max="2824" width="9.140625" style="38"/>
    <col min="2825" max="2825" width="10" style="38" customWidth="1"/>
    <col min="2826" max="2826" width="15.28515625" style="38" customWidth="1"/>
    <col min="2827" max="2827" width="12.140625" style="38" customWidth="1"/>
    <col min="2828" max="2828" width="12.5703125" style="38" customWidth="1"/>
    <col min="2829" max="2829" width="12.85546875" style="38" customWidth="1"/>
    <col min="2830" max="3073" width="9.140625" style="38"/>
    <col min="3074" max="3074" width="5.5703125" style="38" customWidth="1"/>
    <col min="3075" max="3075" width="9.140625" style="38"/>
    <col min="3076" max="3076" width="10.28515625" style="38" customWidth="1"/>
    <col min="3077" max="3077" width="15.42578125" style="38" customWidth="1"/>
    <col min="3078" max="3078" width="12" style="38" customWidth="1"/>
    <col min="3079" max="3079" width="11.7109375" style="38" bestFit="1" customWidth="1"/>
    <col min="3080" max="3080" width="9.140625" style="38"/>
    <col min="3081" max="3081" width="10" style="38" customWidth="1"/>
    <col min="3082" max="3082" width="15.28515625" style="38" customWidth="1"/>
    <col min="3083" max="3083" width="12.140625" style="38" customWidth="1"/>
    <col min="3084" max="3084" width="12.5703125" style="38" customWidth="1"/>
    <col min="3085" max="3085" width="12.85546875" style="38" customWidth="1"/>
    <col min="3086" max="3329" width="9.140625" style="38"/>
    <col min="3330" max="3330" width="5.5703125" style="38" customWidth="1"/>
    <col min="3331" max="3331" width="9.140625" style="38"/>
    <col min="3332" max="3332" width="10.28515625" style="38" customWidth="1"/>
    <col min="3333" max="3333" width="15.42578125" style="38" customWidth="1"/>
    <col min="3334" max="3334" width="12" style="38" customWidth="1"/>
    <col min="3335" max="3335" width="11.7109375" style="38" bestFit="1" customWidth="1"/>
    <col min="3336" max="3336" width="9.140625" style="38"/>
    <col min="3337" max="3337" width="10" style="38" customWidth="1"/>
    <col min="3338" max="3338" width="15.28515625" style="38" customWidth="1"/>
    <col min="3339" max="3339" width="12.140625" style="38" customWidth="1"/>
    <col min="3340" max="3340" width="12.5703125" style="38" customWidth="1"/>
    <col min="3341" max="3341" width="12.85546875" style="38" customWidth="1"/>
    <col min="3342" max="3585" width="9.140625" style="38"/>
    <col min="3586" max="3586" width="5.5703125" style="38" customWidth="1"/>
    <col min="3587" max="3587" width="9.140625" style="38"/>
    <col min="3588" max="3588" width="10.28515625" style="38" customWidth="1"/>
    <col min="3589" max="3589" width="15.42578125" style="38" customWidth="1"/>
    <col min="3590" max="3590" width="12" style="38" customWidth="1"/>
    <col min="3591" max="3591" width="11.7109375" style="38" bestFit="1" customWidth="1"/>
    <col min="3592" max="3592" width="9.140625" style="38"/>
    <col min="3593" max="3593" width="10" style="38" customWidth="1"/>
    <col min="3594" max="3594" width="15.28515625" style="38" customWidth="1"/>
    <col min="3595" max="3595" width="12.140625" style="38" customWidth="1"/>
    <col min="3596" max="3596" width="12.5703125" style="38" customWidth="1"/>
    <col min="3597" max="3597" width="12.85546875" style="38" customWidth="1"/>
    <col min="3598" max="3841" width="9.140625" style="38"/>
    <col min="3842" max="3842" width="5.5703125" style="38" customWidth="1"/>
    <col min="3843" max="3843" width="9.140625" style="38"/>
    <col min="3844" max="3844" width="10.28515625" style="38" customWidth="1"/>
    <col min="3845" max="3845" width="15.42578125" style="38" customWidth="1"/>
    <col min="3846" max="3846" width="12" style="38" customWidth="1"/>
    <col min="3847" max="3847" width="11.7109375" style="38" bestFit="1" customWidth="1"/>
    <col min="3848" max="3848" width="9.140625" style="38"/>
    <col min="3849" max="3849" width="10" style="38" customWidth="1"/>
    <col min="3850" max="3850" width="15.28515625" style="38" customWidth="1"/>
    <col min="3851" max="3851" width="12.140625" style="38" customWidth="1"/>
    <col min="3852" max="3852" width="12.5703125" style="38" customWidth="1"/>
    <col min="3853" max="3853" width="12.85546875" style="38" customWidth="1"/>
    <col min="3854" max="4097" width="9.140625" style="38"/>
    <col min="4098" max="4098" width="5.5703125" style="38" customWidth="1"/>
    <col min="4099" max="4099" width="9.140625" style="38"/>
    <col min="4100" max="4100" width="10.28515625" style="38" customWidth="1"/>
    <col min="4101" max="4101" width="15.42578125" style="38" customWidth="1"/>
    <col min="4102" max="4102" width="12" style="38" customWidth="1"/>
    <col min="4103" max="4103" width="11.7109375" style="38" bestFit="1" customWidth="1"/>
    <col min="4104" max="4104" width="9.140625" style="38"/>
    <col min="4105" max="4105" width="10" style="38" customWidth="1"/>
    <col min="4106" max="4106" width="15.28515625" style="38" customWidth="1"/>
    <col min="4107" max="4107" width="12.140625" style="38" customWidth="1"/>
    <col min="4108" max="4108" width="12.5703125" style="38" customWidth="1"/>
    <col min="4109" max="4109" width="12.85546875" style="38" customWidth="1"/>
    <col min="4110" max="4353" width="9.140625" style="38"/>
    <col min="4354" max="4354" width="5.5703125" style="38" customWidth="1"/>
    <col min="4355" max="4355" width="9.140625" style="38"/>
    <col min="4356" max="4356" width="10.28515625" style="38" customWidth="1"/>
    <col min="4357" max="4357" width="15.42578125" style="38" customWidth="1"/>
    <col min="4358" max="4358" width="12" style="38" customWidth="1"/>
    <col min="4359" max="4359" width="11.7109375" style="38" bestFit="1" customWidth="1"/>
    <col min="4360" max="4360" width="9.140625" style="38"/>
    <col min="4361" max="4361" width="10" style="38" customWidth="1"/>
    <col min="4362" max="4362" width="15.28515625" style="38" customWidth="1"/>
    <col min="4363" max="4363" width="12.140625" style="38" customWidth="1"/>
    <col min="4364" max="4364" width="12.5703125" style="38" customWidth="1"/>
    <col min="4365" max="4365" width="12.85546875" style="38" customWidth="1"/>
    <col min="4366" max="4609" width="9.140625" style="38"/>
    <col min="4610" max="4610" width="5.5703125" style="38" customWidth="1"/>
    <col min="4611" max="4611" width="9.140625" style="38"/>
    <col min="4612" max="4612" width="10.28515625" style="38" customWidth="1"/>
    <col min="4613" max="4613" width="15.42578125" style="38" customWidth="1"/>
    <col min="4614" max="4614" width="12" style="38" customWidth="1"/>
    <col min="4615" max="4615" width="11.7109375" style="38" bestFit="1" customWidth="1"/>
    <col min="4616" max="4616" width="9.140625" style="38"/>
    <col min="4617" max="4617" width="10" style="38" customWidth="1"/>
    <col min="4618" max="4618" width="15.28515625" style="38" customWidth="1"/>
    <col min="4619" max="4619" width="12.140625" style="38" customWidth="1"/>
    <col min="4620" max="4620" width="12.5703125" style="38" customWidth="1"/>
    <col min="4621" max="4621" width="12.85546875" style="38" customWidth="1"/>
    <col min="4622" max="4865" width="9.140625" style="38"/>
    <col min="4866" max="4866" width="5.5703125" style="38" customWidth="1"/>
    <col min="4867" max="4867" width="9.140625" style="38"/>
    <col min="4868" max="4868" width="10.28515625" style="38" customWidth="1"/>
    <col min="4869" max="4869" width="15.42578125" style="38" customWidth="1"/>
    <col min="4870" max="4870" width="12" style="38" customWidth="1"/>
    <col min="4871" max="4871" width="11.7109375" style="38" bestFit="1" customWidth="1"/>
    <col min="4872" max="4872" width="9.140625" style="38"/>
    <col min="4873" max="4873" width="10" style="38" customWidth="1"/>
    <col min="4874" max="4874" width="15.28515625" style="38" customWidth="1"/>
    <col min="4875" max="4875" width="12.140625" style="38" customWidth="1"/>
    <col min="4876" max="4876" width="12.5703125" style="38" customWidth="1"/>
    <col min="4877" max="4877" width="12.85546875" style="38" customWidth="1"/>
    <col min="4878" max="5121" width="9.140625" style="38"/>
    <col min="5122" max="5122" width="5.5703125" style="38" customWidth="1"/>
    <col min="5123" max="5123" width="9.140625" style="38"/>
    <col min="5124" max="5124" width="10.28515625" style="38" customWidth="1"/>
    <col min="5125" max="5125" width="15.42578125" style="38" customWidth="1"/>
    <col min="5126" max="5126" width="12" style="38" customWidth="1"/>
    <col min="5127" max="5127" width="11.7109375" style="38" bestFit="1" customWidth="1"/>
    <col min="5128" max="5128" width="9.140625" style="38"/>
    <col min="5129" max="5129" width="10" style="38" customWidth="1"/>
    <col min="5130" max="5130" width="15.28515625" style="38" customWidth="1"/>
    <col min="5131" max="5131" width="12.140625" style="38" customWidth="1"/>
    <col min="5132" max="5132" width="12.5703125" style="38" customWidth="1"/>
    <col min="5133" max="5133" width="12.85546875" style="38" customWidth="1"/>
    <col min="5134" max="5377" width="9.140625" style="38"/>
    <col min="5378" max="5378" width="5.5703125" style="38" customWidth="1"/>
    <col min="5379" max="5379" width="9.140625" style="38"/>
    <col min="5380" max="5380" width="10.28515625" style="38" customWidth="1"/>
    <col min="5381" max="5381" width="15.42578125" style="38" customWidth="1"/>
    <col min="5382" max="5382" width="12" style="38" customWidth="1"/>
    <col min="5383" max="5383" width="11.7109375" style="38" bestFit="1" customWidth="1"/>
    <col min="5384" max="5384" width="9.140625" style="38"/>
    <col min="5385" max="5385" width="10" style="38" customWidth="1"/>
    <col min="5386" max="5386" width="15.28515625" style="38" customWidth="1"/>
    <col min="5387" max="5387" width="12.140625" style="38" customWidth="1"/>
    <col min="5388" max="5388" width="12.5703125" style="38" customWidth="1"/>
    <col min="5389" max="5389" width="12.85546875" style="38" customWidth="1"/>
    <col min="5390" max="5633" width="9.140625" style="38"/>
    <col min="5634" max="5634" width="5.5703125" style="38" customWidth="1"/>
    <col min="5635" max="5635" width="9.140625" style="38"/>
    <col min="5636" max="5636" width="10.28515625" style="38" customWidth="1"/>
    <col min="5637" max="5637" width="15.42578125" style="38" customWidth="1"/>
    <col min="5638" max="5638" width="12" style="38" customWidth="1"/>
    <col min="5639" max="5639" width="11.7109375" style="38" bestFit="1" customWidth="1"/>
    <col min="5640" max="5640" width="9.140625" style="38"/>
    <col min="5641" max="5641" width="10" style="38" customWidth="1"/>
    <col min="5642" max="5642" width="15.28515625" style="38" customWidth="1"/>
    <col min="5643" max="5643" width="12.140625" style="38" customWidth="1"/>
    <col min="5644" max="5644" width="12.5703125" style="38" customWidth="1"/>
    <col min="5645" max="5645" width="12.85546875" style="38" customWidth="1"/>
    <col min="5646" max="5889" width="9.140625" style="38"/>
    <col min="5890" max="5890" width="5.5703125" style="38" customWidth="1"/>
    <col min="5891" max="5891" width="9.140625" style="38"/>
    <col min="5892" max="5892" width="10.28515625" style="38" customWidth="1"/>
    <col min="5893" max="5893" width="15.42578125" style="38" customWidth="1"/>
    <col min="5894" max="5894" width="12" style="38" customWidth="1"/>
    <col min="5895" max="5895" width="11.7109375" style="38" bestFit="1" customWidth="1"/>
    <col min="5896" max="5896" width="9.140625" style="38"/>
    <col min="5897" max="5897" width="10" style="38" customWidth="1"/>
    <col min="5898" max="5898" width="15.28515625" style="38" customWidth="1"/>
    <col min="5899" max="5899" width="12.140625" style="38" customWidth="1"/>
    <col min="5900" max="5900" width="12.5703125" style="38" customWidth="1"/>
    <col min="5901" max="5901" width="12.85546875" style="38" customWidth="1"/>
    <col min="5902" max="6145" width="9.140625" style="38"/>
    <col min="6146" max="6146" width="5.5703125" style="38" customWidth="1"/>
    <col min="6147" max="6147" width="9.140625" style="38"/>
    <col min="6148" max="6148" width="10.28515625" style="38" customWidth="1"/>
    <col min="6149" max="6149" width="15.42578125" style="38" customWidth="1"/>
    <col min="6150" max="6150" width="12" style="38" customWidth="1"/>
    <col min="6151" max="6151" width="11.7109375" style="38" bestFit="1" customWidth="1"/>
    <col min="6152" max="6152" width="9.140625" style="38"/>
    <col min="6153" max="6153" width="10" style="38" customWidth="1"/>
    <col min="6154" max="6154" width="15.28515625" style="38" customWidth="1"/>
    <col min="6155" max="6155" width="12.140625" style="38" customWidth="1"/>
    <col min="6156" max="6156" width="12.5703125" style="38" customWidth="1"/>
    <col min="6157" max="6157" width="12.85546875" style="38" customWidth="1"/>
    <col min="6158" max="6401" width="9.140625" style="38"/>
    <col min="6402" max="6402" width="5.5703125" style="38" customWidth="1"/>
    <col min="6403" max="6403" width="9.140625" style="38"/>
    <col min="6404" max="6404" width="10.28515625" style="38" customWidth="1"/>
    <col min="6405" max="6405" width="15.42578125" style="38" customWidth="1"/>
    <col min="6406" max="6406" width="12" style="38" customWidth="1"/>
    <col min="6407" max="6407" width="11.7109375" style="38" bestFit="1" customWidth="1"/>
    <col min="6408" max="6408" width="9.140625" style="38"/>
    <col min="6409" max="6409" width="10" style="38" customWidth="1"/>
    <col min="6410" max="6410" width="15.28515625" style="38" customWidth="1"/>
    <col min="6411" max="6411" width="12.140625" style="38" customWidth="1"/>
    <col min="6412" max="6412" width="12.5703125" style="38" customWidth="1"/>
    <col min="6413" max="6413" width="12.85546875" style="38" customWidth="1"/>
    <col min="6414" max="6657" width="9.140625" style="38"/>
    <col min="6658" max="6658" width="5.5703125" style="38" customWidth="1"/>
    <col min="6659" max="6659" width="9.140625" style="38"/>
    <col min="6660" max="6660" width="10.28515625" style="38" customWidth="1"/>
    <col min="6661" max="6661" width="15.42578125" style="38" customWidth="1"/>
    <col min="6662" max="6662" width="12" style="38" customWidth="1"/>
    <col min="6663" max="6663" width="11.7109375" style="38" bestFit="1" customWidth="1"/>
    <col min="6664" max="6664" width="9.140625" style="38"/>
    <col min="6665" max="6665" width="10" style="38" customWidth="1"/>
    <col min="6666" max="6666" width="15.28515625" style="38" customWidth="1"/>
    <col min="6667" max="6667" width="12.140625" style="38" customWidth="1"/>
    <col min="6668" max="6668" width="12.5703125" style="38" customWidth="1"/>
    <col min="6669" max="6669" width="12.85546875" style="38" customWidth="1"/>
    <col min="6670" max="6913" width="9.140625" style="38"/>
    <col min="6914" max="6914" width="5.5703125" style="38" customWidth="1"/>
    <col min="6915" max="6915" width="9.140625" style="38"/>
    <col min="6916" max="6916" width="10.28515625" style="38" customWidth="1"/>
    <col min="6917" max="6917" width="15.42578125" style="38" customWidth="1"/>
    <col min="6918" max="6918" width="12" style="38" customWidth="1"/>
    <col min="6919" max="6919" width="11.7109375" style="38" bestFit="1" customWidth="1"/>
    <col min="6920" max="6920" width="9.140625" style="38"/>
    <col min="6921" max="6921" width="10" style="38" customWidth="1"/>
    <col min="6922" max="6922" width="15.28515625" style="38" customWidth="1"/>
    <col min="6923" max="6923" width="12.140625" style="38" customWidth="1"/>
    <col min="6924" max="6924" width="12.5703125" style="38" customWidth="1"/>
    <col min="6925" max="6925" width="12.85546875" style="38" customWidth="1"/>
    <col min="6926" max="7169" width="9.140625" style="38"/>
    <col min="7170" max="7170" width="5.5703125" style="38" customWidth="1"/>
    <col min="7171" max="7171" width="9.140625" style="38"/>
    <col min="7172" max="7172" width="10.28515625" style="38" customWidth="1"/>
    <col min="7173" max="7173" width="15.42578125" style="38" customWidth="1"/>
    <col min="7174" max="7174" width="12" style="38" customWidth="1"/>
    <col min="7175" max="7175" width="11.7109375" style="38" bestFit="1" customWidth="1"/>
    <col min="7176" max="7176" width="9.140625" style="38"/>
    <col min="7177" max="7177" width="10" style="38" customWidth="1"/>
    <col min="7178" max="7178" width="15.28515625" style="38" customWidth="1"/>
    <col min="7179" max="7179" width="12.140625" style="38" customWidth="1"/>
    <col min="7180" max="7180" width="12.5703125" style="38" customWidth="1"/>
    <col min="7181" max="7181" width="12.85546875" style="38" customWidth="1"/>
    <col min="7182" max="7425" width="9.140625" style="38"/>
    <col min="7426" max="7426" width="5.5703125" style="38" customWidth="1"/>
    <col min="7427" max="7427" width="9.140625" style="38"/>
    <col min="7428" max="7428" width="10.28515625" style="38" customWidth="1"/>
    <col min="7429" max="7429" width="15.42578125" style="38" customWidth="1"/>
    <col min="7430" max="7430" width="12" style="38" customWidth="1"/>
    <col min="7431" max="7431" width="11.7109375" style="38" bestFit="1" customWidth="1"/>
    <col min="7432" max="7432" width="9.140625" style="38"/>
    <col min="7433" max="7433" width="10" style="38" customWidth="1"/>
    <col min="7434" max="7434" width="15.28515625" style="38" customWidth="1"/>
    <col min="7435" max="7435" width="12.140625" style="38" customWidth="1"/>
    <col min="7436" max="7436" width="12.5703125" style="38" customWidth="1"/>
    <col min="7437" max="7437" width="12.85546875" style="38" customWidth="1"/>
    <col min="7438" max="7681" width="9.140625" style="38"/>
    <col min="7682" max="7682" width="5.5703125" style="38" customWidth="1"/>
    <col min="7683" max="7683" width="9.140625" style="38"/>
    <col min="7684" max="7684" width="10.28515625" style="38" customWidth="1"/>
    <col min="7685" max="7685" width="15.42578125" style="38" customWidth="1"/>
    <col min="7686" max="7686" width="12" style="38" customWidth="1"/>
    <col min="7687" max="7687" width="11.7109375" style="38" bestFit="1" customWidth="1"/>
    <col min="7688" max="7688" width="9.140625" style="38"/>
    <col min="7689" max="7689" width="10" style="38" customWidth="1"/>
    <col min="7690" max="7690" width="15.28515625" style="38" customWidth="1"/>
    <col min="7691" max="7691" width="12.140625" style="38" customWidth="1"/>
    <col min="7692" max="7692" width="12.5703125" style="38" customWidth="1"/>
    <col min="7693" max="7693" width="12.85546875" style="38" customWidth="1"/>
    <col min="7694" max="7937" width="9.140625" style="38"/>
    <col min="7938" max="7938" width="5.5703125" style="38" customWidth="1"/>
    <col min="7939" max="7939" width="9.140625" style="38"/>
    <col min="7940" max="7940" width="10.28515625" style="38" customWidth="1"/>
    <col min="7941" max="7941" width="15.42578125" style="38" customWidth="1"/>
    <col min="7942" max="7942" width="12" style="38" customWidth="1"/>
    <col min="7943" max="7943" width="11.7109375" style="38" bestFit="1" customWidth="1"/>
    <col min="7944" max="7944" width="9.140625" style="38"/>
    <col min="7945" max="7945" width="10" style="38" customWidth="1"/>
    <col min="7946" max="7946" width="15.28515625" style="38" customWidth="1"/>
    <col min="7947" max="7947" width="12.140625" style="38" customWidth="1"/>
    <col min="7948" max="7948" width="12.5703125" style="38" customWidth="1"/>
    <col min="7949" max="7949" width="12.85546875" style="38" customWidth="1"/>
    <col min="7950" max="8193" width="9.140625" style="38"/>
    <col min="8194" max="8194" width="5.5703125" style="38" customWidth="1"/>
    <col min="8195" max="8195" width="9.140625" style="38"/>
    <col min="8196" max="8196" width="10.28515625" style="38" customWidth="1"/>
    <col min="8197" max="8197" width="15.42578125" style="38" customWidth="1"/>
    <col min="8198" max="8198" width="12" style="38" customWidth="1"/>
    <col min="8199" max="8199" width="11.7109375" style="38" bestFit="1" customWidth="1"/>
    <col min="8200" max="8200" width="9.140625" style="38"/>
    <col min="8201" max="8201" width="10" style="38" customWidth="1"/>
    <col min="8202" max="8202" width="15.28515625" style="38" customWidth="1"/>
    <col min="8203" max="8203" width="12.140625" style="38" customWidth="1"/>
    <col min="8204" max="8204" width="12.5703125" style="38" customWidth="1"/>
    <col min="8205" max="8205" width="12.85546875" style="38" customWidth="1"/>
    <col min="8206" max="8449" width="9.140625" style="38"/>
    <col min="8450" max="8450" width="5.5703125" style="38" customWidth="1"/>
    <col min="8451" max="8451" width="9.140625" style="38"/>
    <col min="8452" max="8452" width="10.28515625" style="38" customWidth="1"/>
    <col min="8453" max="8453" width="15.42578125" style="38" customWidth="1"/>
    <col min="8454" max="8454" width="12" style="38" customWidth="1"/>
    <col min="8455" max="8455" width="11.7109375" style="38" bestFit="1" customWidth="1"/>
    <col min="8456" max="8456" width="9.140625" style="38"/>
    <col min="8457" max="8457" width="10" style="38" customWidth="1"/>
    <col min="8458" max="8458" width="15.28515625" style="38" customWidth="1"/>
    <col min="8459" max="8459" width="12.140625" style="38" customWidth="1"/>
    <col min="8460" max="8460" width="12.5703125" style="38" customWidth="1"/>
    <col min="8461" max="8461" width="12.85546875" style="38" customWidth="1"/>
    <col min="8462" max="8705" width="9.140625" style="38"/>
    <col min="8706" max="8706" width="5.5703125" style="38" customWidth="1"/>
    <col min="8707" max="8707" width="9.140625" style="38"/>
    <col min="8708" max="8708" width="10.28515625" style="38" customWidth="1"/>
    <col min="8709" max="8709" width="15.42578125" style="38" customWidth="1"/>
    <col min="8710" max="8710" width="12" style="38" customWidth="1"/>
    <col min="8711" max="8711" width="11.7109375" style="38" bestFit="1" customWidth="1"/>
    <col min="8712" max="8712" width="9.140625" style="38"/>
    <col min="8713" max="8713" width="10" style="38" customWidth="1"/>
    <col min="8714" max="8714" width="15.28515625" style="38" customWidth="1"/>
    <col min="8715" max="8715" width="12.140625" style="38" customWidth="1"/>
    <col min="8716" max="8716" width="12.5703125" style="38" customWidth="1"/>
    <col min="8717" max="8717" width="12.85546875" style="38" customWidth="1"/>
    <col min="8718" max="8961" width="9.140625" style="38"/>
    <col min="8962" max="8962" width="5.5703125" style="38" customWidth="1"/>
    <col min="8963" max="8963" width="9.140625" style="38"/>
    <col min="8964" max="8964" width="10.28515625" style="38" customWidth="1"/>
    <col min="8965" max="8965" width="15.42578125" style="38" customWidth="1"/>
    <col min="8966" max="8966" width="12" style="38" customWidth="1"/>
    <col min="8967" max="8967" width="11.7109375" style="38" bestFit="1" customWidth="1"/>
    <col min="8968" max="8968" width="9.140625" style="38"/>
    <col min="8969" max="8969" width="10" style="38" customWidth="1"/>
    <col min="8970" max="8970" width="15.28515625" style="38" customWidth="1"/>
    <col min="8971" max="8971" width="12.140625" style="38" customWidth="1"/>
    <col min="8972" max="8972" width="12.5703125" style="38" customWidth="1"/>
    <col min="8973" max="8973" width="12.85546875" style="38" customWidth="1"/>
    <col min="8974" max="9217" width="9.140625" style="38"/>
    <col min="9218" max="9218" width="5.5703125" style="38" customWidth="1"/>
    <col min="9219" max="9219" width="9.140625" style="38"/>
    <col min="9220" max="9220" width="10.28515625" style="38" customWidth="1"/>
    <col min="9221" max="9221" width="15.42578125" style="38" customWidth="1"/>
    <col min="9222" max="9222" width="12" style="38" customWidth="1"/>
    <col min="9223" max="9223" width="11.7109375" style="38" bestFit="1" customWidth="1"/>
    <col min="9224" max="9224" width="9.140625" style="38"/>
    <col min="9225" max="9225" width="10" style="38" customWidth="1"/>
    <col min="9226" max="9226" width="15.28515625" style="38" customWidth="1"/>
    <col min="9227" max="9227" width="12.140625" style="38" customWidth="1"/>
    <col min="9228" max="9228" width="12.5703125" style="38" customWidth="1"/>
    <col min="9229" max="9229" width="12.85546875" style="38" customWidth="1"/>
    <col min="9230" max="9473" width="9.140625" style="38"/>
    <col min="9474" max="9474" width="5.5703125" style="38" customWidth="1"/>
    <col min="9475" max="9475" width="9.140625" style="38"/>
    <col min="9476" max="9476" width="10.28515625" style="38" customWidth="1"/>
    <col min="9477" max="9477" width="15.42578125" style="38" customWidth="1"/>
    <col min="9478" max="9478" width="12" style="38" customWidth="1"/>
    <col min="9479" max="9479" width="11.7109375" style="38" bestFit="1" customWidth="1"/>
    <col min="9480" max="9480" width="9.140625" style="38"/>
    <col min="9481" max="9481" width="10" style="38" customWidth="1"/>
    <col min="9482" max="9482" width="15.28515625" style="38" customWidth="1"/>
    <col min="9483" max="9483" width="12.140625" style="38" customWidth="1"/>
    <col min="9484" max="9484" width="12.5703125" style="38" customWidth="1"/>
    <col min="9485" max="9485" width="12.85546875" style="38" customWidth="1"/>
    <col min="9486" max="9729" width="9.140625" style="38"/>
    <col min="9730" max="9730" width="5.5703125" style="38" customWidth="1"/>
    <col min="9731" max="9731" width="9.140625" style="38"/>
    <col min="9732" max="9732" width="10.28515625" style="38" customWidth="1"/>
    <col min="9733" max="9733" width="15.42578125" style="38" customWidth="1"/>
    <col min="9734" max="9734" width="12" style="38" customWidth="1"/>
    <col min="9735" max="9735" width="11.7109375" style="38" bestFit="1" customWidth="1"/>
    <col min="9736" max="9736" width="9.140625" style="38"/>
    <col min="9737" max="9737" width="10" style="38" customWidth="1"/>
    <col min="9738" max="9738" width="15.28515625" style="38" customWidth="1"/>
    <col min="9739" max="9739" width="12.140625" style="38" customWidth="1"/>
    <col min="9740" max="9740" width="12.5703125" style="38" customWidth="1"/>
    <col min="9741" max="9741" width="12.85546875" style="38" customWidth="1"/>
    <col min="9742" max="9985" width="9.140625" style="38"/>
    <col min="9986" max="9986" width="5.5703125" style="38" customWidth="1"/>
    <col min="9987" max="9987" width="9.140625" style="38"/>
    <col min="9988" max="9988" width="10.28515625" style="38" customWidth="1"/>
    <col min="9989" max="9989" width="15.42578125" style="38" customWidth="1"/>
    <col min="9990" max="9990" width="12" style="38" customWidth="1"/>
    <col min="9991" max="9991" width="11.7109375" style="38" bestFit="1" customWidth="1"/>
    <col min="9992" max="9992" width="9.140625" style="38"/>
    <col min="9993" max="9993" width="10" style="38" customWidth="1"/>
    <col min="9994" max="9994" width="15.28515625" style="38" customWidth="1"/>
    <col min="9995" max="9995" width="12.140625" style="38" customWidth="1"/>
    <col min="9996" max="9996" width="12.5703125" style="38" customWidth="1"/>
    <col min="9997" max="9997" width="12.85546875" style="38" customWidth="1"/>
    <col min="9998" max="10241" width="9.140625" style="38"/>
    <col min="10242" max="10242" width="5.5703125" style="38" customWidth="1"/>
    <col min="10243" max="10243" width="9.140625" style="38"/>
    <col min="10244" max="10244" width="10.28515625" style="38" customWidth="1"/>
    <col min="10245" max="10245" width="15.42578125" style="38" customWidth="1"/>
    <col min="10246" max="10246" width="12" style="38" customWidth="1"/>
    <col min="10247" max="10247" width="11.7109375" style="38" bestFit="1" customWidth="1"/>
    <col min="10248" max="10248" width="9.140625" style="38"/>
    <col min="10249" max="10249" width="10" style="38" customWidth="1"/>
    <col min="10250" max="10250" width="15.28515625" style="38" customWidth="1"/>
    <col min="10251" max="10251" width="12.140625" style="38" customWidth="1"/>
    <col min="10252" max="10252" width="12.5703125" style="38" customWidth="1"/>
    <col min="10253" max="10253" width="12.85546875" style="38" customWidth="1"/>
    <col min="10254" max="10497" width="9.140625" style="38"/>
    <col min="10498" max="10498" width="5.5703125" style="38" customWidth="1"/>
    <col min="10499" max="10499" width="9.140625" style="38"/>
    <col min="10500" max="10500" width="10.28515625" style="38" customWidth="1"/>
    <col min="10501" max="10501" width="15.42578125" style="38" customWidth="1"/>
    <col min="10502" max="10502" width="12" style="38" customWidth="1"/>
    <col min="10503" max="10503" width="11.7109375" style="38" bestFit="1" customWidth="1"/>
    <col min="10504" max="10504" width="9.140625" style="38"/>
    <col min="10505" max="10505" width="10" style="38" customWidth="1"/>
    <col min="10506" max="10506" width="15.28515625" style="38" customWidth="1"/>
    <col min="10507" max="10507" width="12.140625" style="38" customWidth="1"/>
    <col min="10508" max="10508" width="12.5703125" style="38" customWidth="1"/>
    <col min="10509" max="10509" width="12.85546875" style="38" customWidth="1"/>
    <col min="10510" max="10753" width="9.140625" style="38"/>
    <col min="10754" max="10754" width="5.5703125" style="38" customWidth="1"/>
    <col min="10755" max="10755" width="9.140625" style="38"/>
    <col min="10756" max="10756" width="10.28515625" style="38" customWidth="1"/>
    <col min="10757" max="10757" width="15.42578125" style="38" customWidth="1"/>
    <col min="10758" max="10758" width="12" style="38" customWidth="1"/>
    <col min="10759" max="10759" width="11.7109375" style="38" bestFit="1" customWidth="1"/>
    <col min="10760" max="10760" width="9.140625" style="38"/>
    <col min="10761" max="10761" width="10" style="38" customWidth="1"/>
    <col min="10762" max="10762" width="15.28515625" style="38" customWidth="1"/>
    <col min="10763" max="10763" width="12.140625" style="38" customWidth="1"/>
    <col min="10764" max="10764" width="12.5703125" style="38" customWidth="1"/>
    <col min="10765" max="10765" width="12.85546875" style="38" customWidth="1"/>
    <col min="10766" max="11009" width="9.140625" style="38"/>
    <col min="11010" max="11010" width="5.5703125" style="38" customWidth="1"/>
    <col min="11011" max="11011" width="9.140625" style="38"/>
    <col min="11012" max="11012" width="10.28515625" style="38" customWidth="1"/>
    <col min="11013" max="11013" width="15.42578125" style="38" customWidth="1"/>
    <col min="11014" max="11014" width="12" style="38" customWidth="1"/>
    <col min="11015" max="11015" width="11.7109375" style="38" bestFit="1" customWidth="1"/>
    <col min="11016" max="11016" width="9.140625" style="38"/>
    <col min="11017" max="11017" width="10" style="38" customWidth="1"/>
    <col min="11018" max="11018" width="15.28515625" style="38" customWidth="1"/>
    <col min="11019" max="11019" width="12.140625" style="38" customWidth="1"/>
    <col min="11020" max="11020" width="12.5703125" style="38" customWidth="1"/>
    <col min="11021" max="11021" width="12.85546875" style="38" customWidth="1"/>
    <col min="11022" max="11265" width="9.140625" style="38"/>
    <col min="11266" max="11266" width="5.5703125" style="38" customWidth="1"/>
    <col min="11267" max="11267" width="9.140625" style="38"/>
    <col min="11268" max="11268" width="10.28515625" style="38" customWidth="1"/>
    <col min="11269" max="11269" width="15.42578125" style="38" customWidth="1"/>
    <col min="11270" max="11270" width="12" style="38" customWidth="1"/>
    <col min="11271" max="11271" width="11.7109375" style="38" bestFit="1" customWidth="1"/>
    <col min="11272" max="11272" width="9.140625" style="38"/>
    <col min="11273" max="11273" width="10" style="38" customWidth="1"/>
    <col min="11274" max="11274" width="15.28515625" style="38" customWidth="1"/>
    <col min="11275" max="11275" width="12.140625" style="38" customWidth="1"/>
    <col min="11276" max="11276" width="12.5703125" style="38" customWidth="1"/>
    <col min="11277" max="11277" width="12.85546875" style="38" customWidth="1"/>
    <col min="11278" max="11521" width="9.140625" style="38"/>
    <col min="11522" max="11522" width="5.5703125" style="38" customWidth="1"/>
    <col min="11523" max="11523" width="9.140625" style="38"/>
    <col min="11524" max="11524" width="10.28515625" style="38" customWidth="1"/>
    <col min="11525" max="11525" width="15.42578125" style="38" customWidth="1"/>
    <col min="11526" max="11526" width="12" style="38" customWidth="1"/>
    <col min="11527" max="11527" width="11.7109375" style="38" bestFit="1" customWidth="1"/>
    <col min="11528" max="11528" width="9.140625" style="38"/>
    <col min="11529" max="11529" width="10" style="38" customWidth="1"/>
    <col min="11530" max="11530" width="15.28515625" style="38" customWidth="1"/>
    <col min="11531" max="11531" width="12.140625" style="38" customWidth="1"/>
    <col min="11532" max="11532" width="12.5703125" style="38" customWidth="1"/>
    <col min="11533" max="11533" width="12.85546875" style="38" customWidth="1"/>
    <col min="11534" max="11777" width="9.140625" style="38"/>
    <col min="11778" max="11778" width="5.5703125" style="38" customWidth="1"/>
    <col min="11779" max="11779" width="9.140625" style="38"/>
    <col min="11780" max="11780" width="10.28515625" style="38" customWidth="1"/>
    <col min="11781" max="11781" width="15.42578125" style="38" customWidth="1"/>
    <col min="11782" max="11782" width="12" style="38" customWidth="1"/>
    <col min="11783" max="11783" width="11.7109375" style="38" bestFit="1" customWidth="1"/>
    <col min="11784" max="11784" width="9.140625" style="38"/>
    <col min="11785" max="11785" width="10" style="38" customWidth="1"/>
    <col min="11786" max="11786" width="15.28515625" style="38" customWidth="1"/>
    <col min="11787" max="11787" width="12.140625" style="38" customWidth="1"/>
    <col min="11788" max="11788" width="12.5703125" style="38" customWidth="1"/>
    <col min="11789" max="11789" width="12.85546875" style="38" customWidth="1"/>
    <col min="11790" max="12033" width="9.140625" style="38"/>
    <col min="12034" max="12034" width="5.5703125" style="38" customWidth="1"/>
    <col min="12035" max="12035" width="9.140625" style="38"/>
    <col min="12036" max="12036" width="10.28515625" style="38" customWidth="1"/>
    <col min="12037" max="12037" width="15.42578125" style="38" customWidth="1"/>
    <col min="12038" max="12038" width="12" style="38" customWidth="1"/>
    <col min="12039" max="12039" width="11.7109375" style="38" bestFit="1" customWidth="1"/>
    <col min="12040" max="12040" width="9.140625" style="38"/>
    <col min="12041" max="12041" width="10" style="38" customWidth="1"/>
    <col min="12042" max="12042" width="15.28515625" style="38" customWidth="1"/>
    <col min="12043" max="12043" width="12.140625" style="38" customWidth="1"/>
    <col min="12044" max="12044" width="12.5703125" style="38" customWidth="1"/>
    <col min="12045" max="12045" width="12.85546875" style="38" customWidth="1"/>
    <col min="12046" max="12289" width="9.140625" style="38"/>
    <col min="12290" max="12290" width="5.5703125" style="38" customWidth="1"/>
    <col min="12291" max="12291" width="9.140625" style="38"/>
    <col min="12292" max="12292" width="10.28515625" style="38" customWidth="1"/>
    <col min="12293" max="12293" width="15.42578125" style="38" customWidth="1"/>
    <col min="12294" max="12294" width="12" style="38" customWidth="1"/>
    <col min="12295" max="12295" width="11.7109375" style="38" bestFit="1" customWidth="1"/>
    <col min="12296" max="12296" width="9.140625" style="38"/>
    <col min="12297" max="12297" width="10" style="38" customWidth="1"/>
    <col min="12298" max="12298" width="15.28515625" style="38" customWidth="1"/>
    <col min="12299" max="12299" width="12.140625" style="38" customWidth="1"/>
    <col min="12300" max="12300" width="12.5703125" style="38" customWidth="1"/>
    <col min="12301" max="12301" width="12.85546875" style="38" customWidth="1"/>
    <col min="12302" max="12545" width="9.140625" style="38"/>
    <col min="12546" max="12546" width="5.5703125" style="38" customWidth="1"/>
    <col min="12547" max="12547" width="9.140625" style="38"/>
    <col min="12548" max="12548" width="10.28515625" style="38" customWidth="1"/>
    <col min="12549" max="12549" width="15.42578125" style="38" customWidth="1"/>
    <col min="12550" max="12550" width="12" style="38" customWidth="1"/>
    <col min="12551" max="12551" width="11.7109375" style="38" bestFit="1" customWidth="1"/>
    <col min="12552" max="12552" width="9.140625" style="38"/>
    <col min="12553" max="12553" width="10" style="38" customWidth="1"/>
    <col min="12554" max="12554" width="15.28515625" style="38" customWidth="1"/>
    <col min="12555" max="12555" width="12.140625" style="38" customWidth="1"/>
    <col min="12556" max="12556" width="12.5703125" style="38" customWidth="1"/>
    <col min="12557" max="12557" width="12.85546875" style="38" customWidth="1"/>
    <col min="12558" max="12801" width="9.140625" style="38"/>
    <col min="12802" max="12802" width="5.5703125" style="38" customWidth="1"/>
    <col min="12803" max="12803" width="9.140625" style="38"/>
    <col min="12804" max="12804" width="10.28515625" style="38" customWidth="1"/>
    <col min="12805" max="12805" width="15.42578125" style="38" customWidth="1"/>
    <col min="12806" max="12806" width="12" style="38" customWidth="1"/>
    <col min="12807" max="12807" width="11.7109375" style="38" bestFit="1" customWidth="1"/>
    <col min="12808" max="12808" width="9.140625" style="38"/>
    <col min="12809" max="12809" width="10" style="38" customWidth="1"/>
    <col min="12810" max="12810" width="15.28515625" style="38" customWidth="1"/>
    <col min="12811" max="12811" width="12.140625" style="38" customWidth="1"/>
    <col min="12812" max="12812" width="12.5703125" style="38" customWidth="1"/>
    <col min="12813" max="12813" width="12.85546875" style="38" customWidth="1"/>
    <col min="12814" max="13057" width="9.140625" style="38"/>
    <col min="13058" max="13058" width="5.5703125" style="38" customWidth="1"/>
    <col min="13059" max="13059" width="9.140625" style="38"/>
    <col min="13060" max="13060" width="10.28515625" style="38" customWidth="1"/>
    <col min="13061" max="13061" width="15.42578125" style="38" customWidth="1"/>
    <col min="13062" max="13062" width="12" style="38" customWidth="1"/>
    <col min="13063" max="13063" width="11.7109375" style="38" bestFit="1" customWidth="1"/>
    <col min="13064" max="13064" width="9.140625" style="38"/>
    <col min="13065" max="13065" width="10" style="38" customWidth="1"/>
    <col min="13066" max="13066" width="15.28515625" style="38" customWidth="1"/>
    <col min="13067" max="13067" width="12.140625" style="38" customWidth="1"/>
    <col min="13068" max="13068" width="12.5703125" style="38" customWidth="1"/>
    <col min="13069" max="13069" width="12.85546875" style="38" customWidth="1"/>
    <col min="13070" max="13313" width="9.140625" style="38"/>
    <col min="13314" max="13314" width="5.5703125" style="38" customWidth="1"/>
    <col min="13315" max="13315" width="9.140625" style="38"/>
    <col min="13316" max="13316" width="10.28515625" style="38" customWidth="1"/>
    <col min="13317" max="13317" width="15.42578125" style="38" customWidth="1"/>
    <col min="13318" max="13318" width="12" style="38" customWidth="1"/>
    <col min="13319" max="13319" width="11.7109375" style="38" bestFit="1" customWidth="1"/>
    <col min="13320" max="13320" width="9.140625" style="38"/>
    <col min="13321" max="13321" width="10" style="38" customWidth="1"/>
    <col min="13322" max="13322" width="15.28515625" style="38" customWidth="1"/>
    <col min="13323" max="13323" width="12.140625" style="38" customWidth="1"/>
    <col min="13324" max="13324" width="12.5703125" style="38" customWidth="1"/>
    <col min="13325" max="13325" width="12.85546875" style="38" customWidth="1"/>
    <col min="13326" max="13569" width="9.140625" style="38"/>
    <col min="13570" max="13570" width="5.5703125" style="38" customWidth="1"/>
    <col min="13571" max="13571" width="9.140625" style="38"/>
    <col min="13572" max="13572" width="10.28515625" style="38" customWidth="1"/>
    <col min="13573" max="13573" width="15.42578125" style="38" customWidth="1"/>
    <col min="13574" max="13574" width="12" style="38" customWidth="1"/>
    <col min="13575" max="13575" width="11.7109375" style="38" bestFit="1" customWidth="1"/>
    <col min="13576" max="13576" width="9.140625" style="38"/>
    <col min="13577" max="13577" width="10" style="38" customWidth="1"/>
    <col min="13578" max="13578" width="15.28515625" style="38" customWidth="1"/>
    <col min="13579" max="13579" width="12.140625" style="38" customWidth="1"/>
    <col min="13580" max="13580" width="12.5703125" style="38" customWidth="1"/>
    <col min="13581" max="13581" width="12.85546875" style="38" customWidth="1"/>
    <col min="13582" max="13825" width="9.140625" style="38"/>
    <col min="13826" max="13826" width="5.5703125" style="38" customWidth="1"/>
    <col min="13827" max="13827" width="9.140625" style="38"/>
    <col min="13828" max="13828" width="10.28515625" style="38" customWidth="1"/>
    <col min="13829" max="13829" width="15.42578125" style="38" customWidth="1"/>
    <col min="13830" max="13830" width="12" style="38" customWidth="1"/>
    <col min="13831" max="13831" width="11.7109375" style="38" bestFit="1" customWidth="1"/>
    <col min="13832" max="13832" width="9.140625" style="38"/>
    <col min="13833" max="13833" width="10" style="38" customWidth="1"/>
    <col min="13834" max="13834" width="15.28515625" style="38" customWidth="1"/>
    <col min="13835" max="13835" width="12.140625" style="38" customWidth="1"/>
    <col min="13836" max="13836" width="12.5703125" style="38" customWidth="1"/>
    <col min="13837" max="13837" width="12.85546875" style="38" customWidth="1"/>
    <col min="13838" max="14081" width="9.140625" style="38"/>
    <col min="14082" max="14082" width="5.5703125" style="38" customWidth="1"/>
    <col min="14083" max="14083" width="9.140625" style="38"/>
    <col min="14084" max="14084" width="10.28515625" style="38" customWidth="1"/>
    <col min="14085" max="14085" width="15.42578125" style="38" customWidth="1"/>
    <col min="14086" max="14086" width="12" style="38" customWidth="1"/>
    <col min="14087" max="14087" width="11.7109375" style="38" bestFit="1" customWidth="1"/>
    <col min="14088" max="14088" width="9.140625" style="38"/>
    <col min="14089" max="14089" width="10" style="38" customWidth="1"/>
    <col min="14090" max="14090" width="15.28515625" style="38" customWidth="1"/>
    <col min="14091" max="14091" width="12.140625" style="38" customWidth="1"/>
    <col min="14092" max="14092" width="12.5703125" style="38" customWidth="1"/>
    <col min="14093" max="14093" width="12.85546875" style="38" customWidth="1"/>
    <col min="14094" max="14337" width="9.140625" style="38"/>
    <col min="14338" max="14338" width="5.5703125" style="38" customWidth="1"/>
    <col min="14339" max="14339" width="9.140625" style="38"/>
    <col min="14340" max="14340" width="10.28515625" style="38" customWidth="1"/>
    <col min="14341" max="14341" width="15.42578125" style="38" customWidth="1"/>
    <col min="14342" max="14342" width="12" style="38" customWidth="1"/>
    <col min="14343" max="14343" width="11.7109375" style="38" bestFit="1" customWidth="1"/>
    <col min="14344" max="14344" width="9.140625" style="38"/>
    <col min="14345" max="14345" width="10" style="38" customWidth="1"/>
    <col min="14346" max="14346" width="15.28515625" style="38" customWidth="1"/>
    <col min="14347" max="14347" width="12.140625" style="38" customWidth="1"/>
    <col min="14348" max="14348" width="12.5703125" style="38" customWidth="1"/>
    <col min="14349" max="14349" width="12.85546875" style="38" customWidth="1"/>
    <col min="14350" max="14593" width="9.140625" style="38"/>
    <col min="14594" max="14594" width="5.5703125" style="38" customWidth="1"/>
    <col min="14595" max="14595" width="9.140625" style="38"/>
    <col min="14596" max="14596" width="10.28515625" style="38" customWidth="1"/>
    <col min="14597" max="14597" width="15.42578125" style="38" customWidth="1"/>
    <col min="14598" max="14598" width="12" style="38" customWidth="1"/>
    <col min="14599" max="14599" width="11.7109375" style="38" bestFit="1" customWidth="1"/>
    <col min="14600" max="14600" width="9.140625" style="38"/>
    <col min="14601" max="14601" width="10" style="38" customWidth="1"/>
    <col min="14602" max="14602" width="15.28515625" style="38" customWidth="1"/>
    <col min="14603" max="14603" width="12.140625" style="38" customWidth="1"/>
    <col min="14604" max="14604" width="12.5703125" style="38" customWidth="1"/>
    <col min="14605" max="14605" width="12.85546875" style="38" customWidth="1"/>
    <col min="14606" max="14849" width="9.140625" style="38"/>
    <col min="14850" max="14850" width="5.5703125" style="38" customWidth="1"/>
    <col min="14851" max="14851" width="9.140625" style="38"/>
    <col min="14852" max="14852" width="10.28515625" style="38" customWidth="1"/>
    <col min="14853" max="14853" width="15.42578125" style="38" customWidth="1"/>
    <col min="14854" max="14854" width="12" style="38" customWidth="1"/>
    <col min="14855" max="14855" width="11.7109375" style="38" bestFit="1" customWidth="1"/>
    <col min="14856" max="14856" width="9.140625" style="38"/>
    <col min="14857" max="14857" width="10" style="38" customWidth="1"/>
    <col min="14858" max="14858" width="15.28515625" style="38" customWidth="1"/>
    <col min="14859" max="14859" width="12.140625" style="38" customWidth="1"/>
    <col min="14860" max="14860" width="12.5703125" style="38" customWidth="1"/>
    <col min="14861" max="14861" width="12.85546875" style="38" customWidth="1"/>
    <col min="14862" max="15105" width="9.140625" style="38"/>
    <col min="15106" max="15106" width="5.5703125" style="38" customWidth="1"/>
    <col min="15107" max="15107" width="9.140625" style="38"/>
    <col min="15108" max="15108" width="10.28515625" style="38" customWidth="1"/>
    <col min="15109" max="15109" width="15.42578125" style="38" customWidth="1"/>
    <col min="15110" max="15110" width="12" style="38" customWidth="1"/>
    <col min="15111" max="15111" width="11.7109375" style="38" bestFit="1" customWidth="1"/>
    <col min="15112" max="15112" width="9.140625" style="38"/>
    <col min="15113" max="15113" width="10" style="38" customWidth="1"/>
    <col min="15114" max="15114" width="15.28515625" style="38" customWidth="1"/>
    <col min="15115" max="15115" width="12.140625" style="38" customWidth="1"/>
    <col min="15116" max="15116" width="12.5703125" style="38" customWidth="1"/>
    <col min="15117" max="15117" width="12.85546875" style="38" customWidth="1"/>
    <col min="15118" max="15361" width="9.140625" style="38"/>
    <col min="15362" max="15362" width="5.5703125" style="38" customWidth="1"/>
    <col min="15363" max="15363" width="9.140625" style="38"/>
    <col min="15364" max="15364" width="10.28515625" style="38" customWidth="1"/>
    <col min="15365" max="15365" width="15.42578125" style="38" customWidth="1"/>
    <col min="15366" max="15366" width="12" style="38" customWidth="1"/>
    <col min="15367" max="15367" width="11.7109375" style="38" bestFit="1" customWidth="1"/>
    <col min="15368" max="15368" width="9.140625" style="38"/>
    <col min="15369" max="15369" width="10" style="38" customWidth="1"/>
    <col min="15370" max="15370" width="15.28515625" style="38" customWidth="1"/>
    <col min="15371" max="15371" width="12.140625" style="38" customWidth="1"/>
    <col min="15372" max="15372" width="12.5703125" style="38" customWidth="1"/>
    <col min="15373" max="15373" width="12.85546875" style="38" customWidth="1"/>
    <col min="15374" max="15617" width="9.140625" style="38"/>
    <col min="15618" max="15618" width="5.5703125" style="38" customWidth="1"/>
    <col min="15619" max="15619" width="9.140625" style="38"/>
    <col min="15620" max="15620" width="10.28515625" style="38" customWidth="1"/>
    <col min="15621" max="15621" width="15.42578125" style="38" customWidth="1"/>
    <col min="15622" max="15622" width="12" style="38" customWidth="1"/>
    <col min="15623" max="15623" width="11.7109375" style="38" bestFit="1" customWidth="1"/>
    <col min="15624" max="15624" width="9.140625" style="38"/>
    <col min="15625" max="15625" width="10" style="38" customWidth="1"/>
    <col min="15626" max="15626" width="15.28515625" style="38" customWidth="1"/>
    <col min="15627" max="15627" width="12.140625" style="38" customWidth="1"/>
    <col min="15628" max="15628" width="12.5703125" style="38" customWidth="1"/>
    <col min="15629" max="15629" width="12.85546875" style="38" customWidth="1"/>
    <col min="15630" max="15873" width="9.140625" style="38"/>
    <col min="15874" max="15874" width="5.5703125" style="38" customWidth="1"/>
    <col min="15875" max="15875" width="9.140625" style="38"/>
    <col min="15876" max="15876" width="10.28515625" style="38" customWidth="1"/>
    <col min="15877" max="15877" width="15.42578125" style="38" customWidth="1"/>
    <col min="15878" max="15878" width="12" style="38" customWidth="1"/>
    <col min="15879" max="15879" width="11.7109375" style="38" bestFit="1" customWidth="1"/>
    <col min="15880" max="15880" width="9.140625" style="38"/>
    <col min="15881" max="15881" width="10" style="38" customWidth="1"/>
    <col min="15882" max="15882" width="15.28515625" style="38" customWidth="1"/>
    <col min="15883" max="15883" width="12.140625" style="38" customWidth="1"/>
    <col min="15884" max="15884" width="12.5703125" style="38" customWidth="1"/>
    <col min="15885" max="15885" width="12.85546875" style="38" customWidth="1"/>
    <col min="15886" max="16129" width="9.140625" style="38"/>
    <col min="16130" max="16130" width="5.5703125" style="38" customWidth="1"/>
    <col min="16131" max="16131" width="9.140625" style="38"/>
    <col min="16132" max="16132" width="10.28515625" style="38" customWidth="1"/>
    <col min="16133" max="16133" width="15.42578125" style="38" customWidth="1"/>
    <col min="16134" max="16134" width="12" style="38" customWidth="1"/>
    <col min="16135" max="16135" width="11.7109375" style="38" bestFit="1" customWidth="1"/>
    <col min="16136" max="16136" width="9.140625" style="38"/>
    <col min="16137" max="16137" width="10" style="38" customWidth="1"/>
    <col min="16138" max="16138" width="15.28515625" style="38" customWidth="1"/>
    <col min="16139" max="16139" width="12.140625" style="38" customWidth="1"/>
    <col min="16140" max="16140" width="12.5703125" style="38" customWidth="1"/>
    <col min="16141" max="16141" width="12.85546875" style="38" customWidth="1"/>
    <col min="16142" max="16384" width="9.140625" style="38"/>
  </cols>
  <sheetData>
    <row r="1" spans="1:14" ht="45" customHeight="1" thickTop="1" thickBot="1" x14ac:dyDescent="0.25">
      <c r="A1" s="559" t="s">
        <v>53</v>
      </c>
      <c r="B1" s="559"/>
      <c r="C1" s="559"/>
      <c r="D1" s="559"/>
      <c r="E1" s="559"/>
      <c r="F1" s="559"/>
      <c r="G1" s="559"/>
      <c r="H1" s="559"/>
      <c r="I1" s="559"/>
      <c r="J1" s="560"/>
      <c r="K1" s="560"/>
      <c r="L1" s="560"/>
      <c r="M1" s="560"/>
      <c r="N1" s="559"/>
    </row>
    <row r="2" spans="1:14" ht="15" customHeight="1" thickTop="1" thickBot="1" x14ac:dyDescent="0.25">
      <c r="A2" s="563" t="s">
        <v>2</v>
      </c>
      <c r="B2" s="563" t="s">
        <v>0</v>
      </c>
      <c r="C2" s="563" t="s">
        <v>48</v>
      </c>
      <c r="D2" s="563" t="s">
        <v>37</v>
      </c>
      <c r="E2" s="563" t="s">
        <v>3</v>
      </c>
      <c r="F2" s="563" t="s">
        <v>116</v>
      </c>
      <c r="G2" s="564" t="s">
        <v>4</v>
      </c>
      <c r="H2" s="564" t="s">
        <v>5</v>
      </c>
      <c r="I2" s="542" t="s">
        <v>711</v>
      </c>
      <c r="J2" s="551" t="s">
        <v>739</v>
      </c>
      <c r="K2" s="180" t="s">
        <v>633</v>
      </c>
      <c r="L2" s="180" t="s">
        <v>636</v>
      </c>
      <c r="M2" s="220" t="s">
        <v>635</v>
      </c>
      <c r="N2" s="563" t="s">
        <v>35</v>
      </c>
    </row>
    <row r="3" spans="1:14" ht="23.25" customHeight="1" thickTop="1" thickBot="1" x14ac:dyDescent="0.25">
      <c r="A3" s="563"/>
      <c r="B3" s="563"/>
      <c r="C3" s="563"/>
      <c r="D3" s="563"/>
      <c r="E3" s="563"/>
      <c r="F3" s="563"/>
      <c r="G3" s="564"/>
      <c r="H3" s="564"/>
      <c r="I3" s="543"/>
      <c r="J3" s="551"/>
      <c r="K3" s="181"/>
      <c r="L3" s="181"/>
      <c r="M3" s="221"/>
      <c r="N3" s="563"/>
    </row>
    <row r="4" spans="1:14" ht="14.25" thickTop="1" thickBot="1" x14ac:dyDescent="0.25"/>
    <row r="5" spans="1:14" s="13" customFormat="1" ht="84.75" customHeight="1" thickTop="1" thickBot="1" x14ac:dyDescent="0.3">
      <c r="A5" s="98">
        <v>22</v>
      </c>
      <c r="B5" s="84" t="s">
        <v>26</v>
      </c>
      <c r="C5" s="84" t="s">
        <v>76</v>
      </c>
      <c r="D5" s="84" t="s">
        <v>184</v>
      </c>
      <c r="E5" s="102" t="s">
        <v>359</v>
      </c>
      <c r="F5" s="103">
        <v>6000000</v>
      </c>
      <c r="G5" s="99" t="s">
        <v>149</v>
      </c>
      <c r="H5" s="99" t="s">
        <v>148</v>
      </c>
      <c r="I5" s="84" t="s">
        <v>186</v>
      </c>
      <c r="J5" s="158" t="s">
        <v>682</v>
      </c>
      <c r="K5" s="157" t="s">
        <v>733</v>
      </c>
      <c r="L5" s="158" t="s">
        <v>639</v>
      </c>
      <c r="M5" s="218">
        <v>0</v>
      </c>
      <c r="N5" s="84" t="s">
        <v>179</v>
      </c>
    </row>
    <row r="6" spans="1:14" s="13" customFormat="1" ht="77.25" customHeight="1" thickTop="1" thickBot="1" x14ac:dyDescent="0.3">
      <c r="A6" s="98">
        <v>32</v>
      </c>
      <c r="B6" s="84" t="s">
        <v>26</v>
      </c>
      <c r="C6" s="102" t="s">
        <v>189</v>
      </c>
      <c r="D6" s="102" t="s">
        <v>207</v>
      </c>
      <c r="E6" s="102" t="s">
        <v>208</v>
      </c>
      <c r="F6" s="103">
        <v>800000</v>
      </c>
      <c r="G6" s="84" t="s">
        <v>149</v>
      </c>
      <c r="H6" s="84" t="s">
        <v>148</v>
      </c>
      <c r="I6" s="84" t="s">
        <v>209</v>
      </c>
      <c r="J6" s="158" t="s">
        <v>683</v>
      </c>
      <c r="K6" s="157" t="s">
        <v>733</v>
      </c>
      <c r="L6" s="158" t="s">
        <v>639</v>
      </c>
      <c r="M6" s="218">
        <v>0</v>
      </c>
      <c r="N6" s="84" t="s">
        <v>179</v>
      </c>
    </row>
    <row r="7" spans="1:14" s="13" customFormat="1" ht="65.25" thickTop="1" thickBot="1" x14ac:dyDescent="0.3">
      <c r="A7" s="98">
        <v>32</v>
      </c>
      <c r="B7" s="84" t="s">
        <v>26</v>
      </c>
      <c r="C7" s="102" t="s">
        <v>189</v>
      </c>
      <c r="D7" s="102" t="s">
        <v>210</v>
      </c>
      <c r="E7" s="102" t="s">
        <v>132</v>
      </c>
      <c r="F7" s="103">
        <v>800000</v>
      </c>
      <c r="G7" s="84" t="s">
        <v>149</v>
      </c>
      <c r="H7" s="84" t="s">
        <v>148</v>
      </c>
      <c r="I7" s="84" t="s">
        <v>209</v>
      </c>
      <c r="J7" s="158" t="s">
        <v>683</v>
      </c>
      <c r="K7" s="157" t="s">
        <v>733</v>
      </c>
      <c r="L7" s="158" t="s">
        <v>639</v>
      </c>
      <c r="M7" s="218">
        <v>0</v>
      </c>
      <c r="N7" s="84" t="s">
        <v>179</v>
      </c>
    </row>
    <row r="8" spans="1:14" s="13" customFormat="1" ht="65.25" thickTop="1" thickBot="1" x14ac:dyDescent="0.3">
      <c r="A8" s="98">
        <v>32</v>
      </c>
      <c r="B8" s="84" t="s">
        <v>26</v>
      </c>
      <c r="C8" s="102" t="s">
        <v>189</v>
      </c>
      <c r="D8" s="102" t="s">
        <v>394</v>
      </c>
      <c r="E8" s="102" t="s">
        <v>338</v>
      </c>
      <c r="F8" s="103">
        <v>800000</v>
      </c>
      <c r="G8" s="84" t="s">
        <v>149</v>
      </c>
      <c r="H8" s="84" t="s">
        <v>148</v>
      </c>
      <c r="I8" s="84" t="s">
        <v>209</v>
      </c>
      <c r="J8" s="158" t="s">
        <v>683</v>
      </c>
      <c r="K8" s="157" t="s">
        <v>733</v>
      </c>
      <c r="L8" s="158" t="s">
        <v>639</v>
      </c>
      <c r="M8" s="218">
        <v>0</v>
      </c>
      <c r="N8" s="84" t="s">
        <v>179</v>
      </c>
    </row>
    <row r="9" spans="1:14" s="13" customFormat="1" ht="65.25" thickTop="1" thickBot="1" x14ac:dyDescent="0.3">
      <c r="A9" s="98">
        <v>32</v>
      </c>
      <c r="B9" s="84" t="s">
        <v>26</v>
      </c>
      <c r="C9" s="102" t="s">
        <v>189</v>
      </c>
      <c r="D9" s="102" t="s">
        <v>211</v>
      </c>
      <c r="E9" s="102" t="s">
        <v>212</v>
      </c>
      <c r="F9" s="103">
        <v>800000</v>
      </c>
      <c r="G9" s="84" t="s">
        <v>149</v>
      </c>
      <c r="H9" s="84" t="s">
        <v>148</v>
      </c>
      <c r="I9" s="84" t="s">
        <v>209</v>
      </c>
      <c r="J9" s="158" t="s">
        <v>683</v>
      </c>
      <c r="K9" s="157" t="s">
        <v>733</v>
      </c>
      <c r="L9" s="158" t="s">
        <v>639</v>
      </c>
      <c r="M9" s="218">
        <v>0</v>
      </c>
      <c r="N9" s="84" t="s">
        <v>179</v>
      </c>
    </row>
    <row r="10" spans="1:14" s="13" customFormat="1" ht="78" thickTop="1" thickBot="1" x14ac:dyDescent="0.3">
      <c r="A10" s="98">
        <v>32</v>
      </c>
      <c r="B10" s="84" t="s">
        <v>26</v>
      </c>
      <c r="C10" s="102" t="s">
        <v>189</v>
      </c>
      <c r="D10" s="102" t="s">
        <v>213</v>
      </c>
      <c r="E10" s="102" t="s">
        <v>214</v>
      </c>
      <c r="F10" s="103">
        <v>800000</v>
      </c>
      <c r="G10" s="84" t="s">
        <v>149</v>
      </c>
      <c r="H10" s="84" t="s">
        <v>148</v>
      </c>
      <c r="I10" s="84" t="s">
        <v>209</v>
      </c>
      <c r="J10" s="158" t="s">
        <v>683</v>
      </c>
      <c r="K10" s="157" t="s">
        <v>733</v>
      </c>
      <c r="L10" s="158" t="s">
        <v>639</v>
      </c>
      <c r="M10" s="218">
        <v>0</v>
      </c>
      <c r="N10" s="84" t="s">
        <v>179</v>
      </c>
    </row>
    <row r="11" spans="1:14" s="13" customFormat="1" ht="65.25" thickTop="1" thickBot="1" x14ac:dyDescent="0.3">
      <c r="A11" s="98">
        <v>32</v>
      </c>
      <c r="B11" s="84" t="s">
        <v>26</v>
      </c>
      <c r="C11" s="102" t="s">
        <v>189</v>
      </c>
      <c r="D11" s="102" t="s">
        <v>215</v>
      </c>
      <c r="E11" s="102" t="s">
        <v>133</v>
      </c>
      <c r="F11" s="103">
        <v>800000</v>
      </c>
      <c r="G11" s="84" t="s">
        <v>149</v>
      </c>
      <c r="H11" s="84" t="s">
        <v>148</v>
      </c>
      <c r="I11" s="84" t="s">
        <v>209</v>
      </c>
      <c r="J11" s="158" t="s">
        <v>683</v>
      </c>
      <c r="K11" s="157" t="s">
        <v>733</v>
      </c>
      <c r="L11" s="158" t="s">
        <v>639</v>
      </c>
      <c r="M11" s="218">
        <v>0</v>
      </c>
      <c r="N11" s="84" t="s">
        <v>179</v>
      </c>
    </row>
    <row r="12" spans="1:14" s="13" customFormat="1" ht="65.25" thickTop="1" thickBot="1" x14ac:dyDescent="0.3">
      <c r="A12" s="98">
        <v>32</v>
      </c>
      <c r="B12" s="84" t="s">
        <v>26</v>
      </c>
      <c r="C12" s="102" t="s">
        <v>189</v>
      </c>
      <c r="D12" s="102" t="s">
        <v>216</v>
      </c>
      <c r="E12" s="102" t="s">
        <v>217</v>
      </c>
      <c r="F12" s="103">
        <v>800000</v>
      </c>
      <c r="G12" s="84" t="s">
        <v>149</v>
      </c>
      <c r="H12" s="84" t="s">
        <v>148</v>
      </c>
      <c r="I12" s="84" t="s">
        <v>209</v>
      </c>
      <c r="J12" s="158" t="s">
        <v>683</v>
      </c>
      <c r="K12" s="157" t="s">
        <v>733</v>
      </c>
      <c r="L12" s="158" t="s">
        <v>639</v>
      </c>
      <c r="M12" s="218">
        <v>0</v>
      </c>
      <c r="N12" s="84" t="s">
        <v>179</v>
      </c>
    </row>
    <row r="13" spans="1:14" s="94" customFormat="1" ht="71.25" customHeight="1" thickTop="1" thickBot="1" x14ac:dyDescent="0.3">
      <c r="A13" s="98">
        <v>22</v>
      </c>
      <c r="B13" s="84" t="s">
        <v>28</v>
      </c>
      <c r="C13" s="84" t="s">
        <v>47</v>
      </c>
      <c r="D13" s="84" t="s">
        <v>298</v>
      </c>
      <c r="E13" s="84" t="s">
        <v>299</v>
      </c>
      <c r="F13" s="84">
        <v>200000</v>
      </c>
      <c r="G13" s="84" t="s">
        <v>149</v>
      </c>
      <c r="H13" s="84" t="s">
        <v>148</v>
      </c>
      <c r="I13" s="84" t="s">
        <v>300</v>
      </c>
      <c r="J13" s="158" t="s">
        <v>684</v>
      </c>
      <c r="K13" s="158" t="s">
        <v>638</v>
      </c>
      <c r="L13" s="158" t="s">
        <v>638</v>
      </c>
      <c r="M13" s="218">
        <v>14792</v>
      </c>
      <c r="N13" s="84" t="s">
        <v>14</v>
      </c>
    </row>
    <row r="14" spans="1:14" s="94" customFormat="1" ht="132" customHeight="1" thickTop="1" thickBot="1" x14ac:dyDescent="0.3">
      <c r="A14" s="98">
        <v>22</v>
      </c>
      <c r="B14" s="84" t="s">
        <v>28</v>
      </c>
      <c r="C14" s="84" t="s">
        <v>47</v>
      </c>
      <c r="D14" s="84" t="s">
        <v>301</v>
      </c>
      <c r="E14" s="84" t="s">
        <v>79</v>
      </c>
      <c r="F14" s="84">
        <v>150000</v>
      </c>
      <c r="G14" s="84" t="s">
        <v>149</v>
      </c>
      <c r="H14" s="84" t="s">
        <v>148</v>
      </c>
      <c r="I14" s="84" t="s">
        <v>92</v>
      </c>
      <c r="J14" s="158" t="s">
        <v>685</v>
      </c>
      <c r="K14" s="158" t="s">
        <v>638</v>
      </c>
      <c r="L14" s="158" t="s">
        <v>638</v>
      </c>
      <c r="M14" s="218">
        <v>0</v>
      </c>
      <c r="N14" s="84" t="s">
        <v>14</v>
      </c>
    </row>
    <row r="15" spans="1:14" s="94" customFormat="1" ht="92.25" customHeight="1" thickTop="1" thickBot="1" x14ac:dyDescent="0.3">
      <c r="A15" s="98">
        <v>22</v>
      </c>
      <c r="B15" s="84" t="s">
        <v>28</v>
      </c>
      <c r="C15" s="84" t="s">
        <v>47</v>
      </c>
      <c r="D15" s="84" t="s">
        <v>302</v>
      </c>
      <c r="E15" s="84" t="s">
        <v>303</v>
      </c>
      <c r="F15" s="84">
        <v>400000</v>
      </c>
      <c r="G15" s="84" t="s">
        <v>149</v>
      </c>
      <c r="H15" s="84" t="s">
        <v>148</v>
      </c>
      <c r="I15" s="84" t="s">
        <v>304</v>
      </c>
      <c r="J15" s="158" t="s">
        <v>754</v>
      </c>
      <c r="K15" s="158" t="s">
        <v>755</v>
      </c>
      <c r="L15" s="158" t="s">
        <v>756</v>
      </c>
      <c r="M15" s="218">
        <v>0</v>
      </c>
      <c r="N15" s="84" t="s">
        <v>14</v>
      </c>
    </row>
    <row r="16" spans="1:14" s="95" customFormat="1" ht="64.5" customHeight="1" thickTop="1" thickBot="1" x14ac:dyDescent="0.25">
      <c r="A16" s="98">
        <v>22</v>
      </c>
      <c r="B16" s="84" t="s">
        <v>28</v>
      </c>
      <c r="C16" s="84" t="s">
        <v>305</v>
      </c>
      <c r="D16" s="84" t="s">
        <v>312</v>
      </c>
      <c r="E16" s="84" t="s">
        <v>313</v>
      </c>
      <c r="F16" s="84">
        <v>60000</v>
      </c>
      <c r="G16" s="84" t="s">
        <v>149</v>
      </c>
      <c r="H16" s="84" t="s">
        <v>148</v>
      </c>
      <c r="I16" s="84" t="s">
        <v>91</v>
      </c>
      <c r="J16" s="158" t="s">
        <v>751</v>
      </c>
      <c r="K16" s="157" t="s">
        <v>733</v>
      </c>
      <c r="L16" s="158" t="s">
        <v>752</v>
      </c>
      <c r="M16" s="218">
        <v>6000</v>
      </c>
      <c r="N16" s="84" t="s">
        <v>179</v>
      </c>
    </row>
    <row r="17" spans="1:14" s="95" customFormat="1" ht="80.25" customHeight="1" thickTop="1" thickBot="1" x14ac:dyDescent="0.25">
      <c r="A17" s="98">
        <v>22</v>
      </c>
      <c r="B17" s="84" t="s">
        <v>28</v>
      </c>
      <c r="C17" s="84" t="s">
        <v>305</v>
      </c>
      <c r="D17" s="84" t="s">
        <v>314</v>
      </c>
      <c r="E17" s="84" t="s">
        <v>315</v>
      </c>
      <c r="F17" s="84">
        <v>60000</v>
      </c>
      <c r="G17" s="84" t="s">
        <v>149</v>
      </c>
      <c r="H17" s="84" t="s">
        <v>148</v>
      </c>
      <c r="I17" s="84" t="s">
        <v>316</v>
      </c>
      <c r="J17" s="158" t="s">
        <v>753</v>
      </c>
      <c r="K17" s="158" t="s">
        <v>755</v>
      </c>
      <c r="L17" s="158" t="s">
        <v>756</v>
      </c>
      <c r="M17" s="218">
        <v>0</v>
      </c>
      <c r="N17" s="84" t="s">
        <v>14</v>
      </c>
    </row>
    <row r="18" spans="1:14" s="95" customFormat="1" ht="67.5" customHeight="1" thickTop="1" thickBot="1" x14ac:dyDescent="0.25">
      <c r="A18" s="98">
        <v>22</v>
      </c>
      <c r="B18" s="84" t="s">
        <v>28</v>
      </c>
      <c r="C18" s="84" t="s">
        <v>305</v>
      </c>
      <c r="D18" s="84" t="s">
        <v>323</v>
      </c>
      <c r="E18" s="84" t="s">
        <v>317</v>
      </c>
      <c r="F18" s="84">
        <v>400000</v>
      </c>
      <c r="G18" s="84" t="s">
        <v>149</v>
      </c>
      <c r="H18" s="84" t="s">
        <v>148</v>
      </c>
      <c r="I18" s="84" t="s">
        <v>91</v>
      </c>
      <c r="J18" s="158" t="s">
        <v>686</v>
      </c>
      <c r="K18" s="158" t="s">
        <v>1</v>
      </c>
      <c r="L18" s="158" t="s">
        <v>1</v>
      </c>
      <c r="M18" s="218">
        <v>0</v>
      </c>
      <c r="N18" s="84" t="s">
        <v>179</v>
      </c>
    </row>
    <row r="19" spans="1:14" s="95" customFormat="1" ht="94.5" customHeight="1" thickTop="1" thickBot="1" x14ac:dyDescent="0.25">
      <c r="A19" s="98">
        <v>22</v>
      </c>
      <c r="B19" s="84" t="s">
        <v>28</v>
      </c>
      <c r="C19" s="84" t="s">
        <v>305</v>
      </c>
      <c r="D19" s="84" t="s">
        <v>324</v>
      </c>
      <c r="E19" s="84" t="s">
        <v>318</v>
      </c>
      <c r="F19" s="84">
        <v>400000</v>
      </c>
      <c r="G19" s="84" t="s">
        <v>149</v>
      </c>
      <c r="H19" s="84" t="s">
        <v>148</v>
      </c>
      <c r="I19" s="84" t="s">
        <v>319</v>
      </c>
      <c r="J19" s="158" t="s">
        <v>757</v>
      </c>
      <c r="K19" s="158" t="s">
        <v>638</v>
      </c>
      <c r="L19" s="158" t="s">
        <v>758</v>
      </c>
      <c r="M19" s="218">
        <v>0</v>
      </c>
      <c r="N19" s="84" t="s">
        <v>14</v>
      </c>
    </row>
    <row r="20" spans="1:14" s="95" customFormat="1" ht="87.75" customHeight="1" thickTop="1" thickBot="1" x14ac:dyDescent="0.25">
      <c r="A20" s="98">
        <v>22</v>
      </c>
      <c r="B20" s="84" t="s">
        <v>28</v>
      </c>
      <c r="C20" s="84" t="s">
        <v>305</v>
      </c>
      <c r="D20" s="84" t="s">
        <v>553</v>
      </c>
      <c r="E20" s="84" t="s">
        <v>320</v>
      </c>
      <c r="F20" s="84">
        <v>120000</v>
      </c>
      <c r="G20" s="84" t="s">
        <v>149</v>
      </c>
      <c r="H20" s="84" t="s">
        <v>533</v>
      </c>
      <c r="I20" s="84" t="s">
        <v>321</v>
      </c>
      <c r="J20" s="158" t="s">
        <v>687</v>
      </c>
      <c r="K20" s="158" t="s">
        <v>1</v>
      </c>
      <c r="L20" s="158" t="s">
        <v>1</v>
      </c>
      <c r="M20" s="218">
        <v>192051</v>
      </c>
      <c r="N20" s="84" t="s">
        <v>14</v>
      </c>
    </row>
    <row r="21" spans="1:14" s="112" customFormat="1" ht="68.25" customHeight="1" thickTop="1" thickBot="1" x14ac:dyDescent="0.25">
      <c r="A21" s="98">
        <v>22</v>
      </c>
      <c r="B21" s="84" t="s">
        <v>28</v>
      </c>
      <c r="C21" s="84" t="s">
        <v>305</v>
      </c>
      <c r="D21" s="84" t="s">
        <v>325</v>
      </c>
      <c r="E21" s="84" t="s">
        <v>322</v>
      </c>
      <c r="F21" s="84">
        <v>400000</v>
      </c>
      <c r="G21" s="84" t="s">
        <v>149</v>
      </c>
      <c r="H21" s="84" t="s">
        <v>533</v>
      </c>
      <c r="I21" s="84" t="s">
        <v>91</v>
      </c>
      <c r="J21" s="158" t="s">
        <v>686</v>
      </c>
      <c r="K21" s="158" t="s">
        <v>1</v>
      </c>
      <c r="L21" s="158" t="s">
        <v>1</v>
      </c>
      <c r="M21" s="218">
        <v>0</v>
      </c>
      <c r="N21" s="84" t="s">
        <v>179</v>
      </c>
    </row>
    <row r="22" spans="1:14" ht="99.75" customHeight="1" thickTop="1" thickBot="1" x14ac:dyDescent="0.25">
      <c r="A22" s="98">
        <v>34</v>
      </c>
      <c r="B22" s="84" t="s">
        <v>28</v>
      </c>
      <c r="C22" s="84" t="s">
        <v>61</v>
      </c>
      <c r="D22" s="84" t="s">
        <v>521</v>
      </c>
      <c r="E22" s="84" t="s">
        <v>290</v>
      </c>
      <c r="F22" s="87">
        <v>100000</v>
      </c>
      <c r="G22" s="84" t="s">
        <v>149</v>
      </c>
      <c r="H22" s="84" t="s">
        <v>533</v>
      </c>
      <c r="I22" s="84" t="s">
        <v>94</v>
      </c>
      <c r="J22" s="156" t="s">
        <v>688</v>
      </c>
      <c r="K22" s="157" t="s">
        <v>689</v>
      </c>
      <c r="L22" s="156" t="s">
        <v>690</v>
      </c>
      <c r="M22" s="218">
        <v>0</v>
      </c>
      <c r="N22" s="84" t="s">
        <v>27</v>
      </c>
    </row>
    <row r="23" spans="1:14" ht="84.75" customHeight="1" thickTop="1" thickBot="1" x14ac:dyDescent="0.25">
      <c r="A23" s="98">
        <v>34</v>
      </c>
      <c r="B23" s="84" t="s">
        <v>28</v>
      </c>
      <c r="C23" s="84" t="s">
        <v>61</v>
      </c>
      <c r="D23" s="84" t="s">
        <v>554</v>
      </c>
      <c r="E23" s="84" t="s">
        <v>291</v>
      </c>
      <c r="F23" s="87">
        <v>120000</v>
      </c>
      <c r="G23" s="84" t="s">
        <v>149</v>
      </c>
      <c r="H23" s="84" t="s">
        <v>157</v>
      </c>
      <c r="I23" s="84" t="s">
        <v>555</v>
      </c>
      <c r="J23" s="158" t="s">
        <v>797</v>
      </c>
      <c r="K23" s="158" t="s">
        <v>1</v>
      </c>
      <c r="L23" s="158" t="s">
        <v>1</v>
      </c>
      <c r="M23" s="218">
        <v>0</v>
      </c>
      <c r="N23" s="84" t="s">
        <v>27</v>
      </c>
    </row>
    <row r="24" spans="1:14" ht="108" customHeight="1" thickTop="1" thickBot="1" x14ac:dyDescent="0.25">
      <c r="A24" s="98">
        <v>34</v>
      </c>
      <c r="B24" s="84" t="s">
        <v>28</v>
      </c>
      <c r="C24" s="84" t="s">
        <v>61</v>
      </c>
      <c r="D24" s="84" t="s">
        <v>292</v>
      </c>
      <c r="E24" s="84" t="s">
        <v>293</v>
      </c>
      <c r="F24" s="87">
        <v>200000</v>
      </c>
      <c r="G24" s="84" t="s">
        <v>149</v>
      </c>
      <c r="H24" s="84" t="s">
        <v>148</v>
      </c>
      <c r="I24" s="84" t="s">
        <v>294</v>
      </c>
      <c r="J24" s="158" t="s">
        <v>1407</v>
      </c>
      <c r="K24" s="158" t="s">
        <v>1</v>
      </c>
      <c r="L24" s="158" t="s">
        <v>1</v>
      </c>
      <c r="M24" s="218" t="s">
        <v>659</v>
      </c>
      <c r="N24" s="84" t="s">
        <v>27</v>
      </c>
    </row>
    <row r="25" spans="1:14" s="23" customFormat="1" ht="79.5" customHeight="1" thickTop="1" thickBot="1" x14ac:dyDescent="0.3">
      <c r="A25" s="98">
        <v>34</v>
      </c>
      <c r="B25" s="84" t="s">
        <v>28</v>
      </c>
      <c r="C25" s="84" t="s">
        <v>61</v>
      </c>
      <c r="D25" s="84" t="s">
        <v>556</v>
      </c>
      <c r="E25" s="84" t="s">
        <v>295</v>
      </c>
      <c r="F25" s="87">
        <v>150000</v>
      </c>
      <c r="G25" s="84" t="s">
        <v>149</v>
      </c>
      <c r="H25" s="84" t="s">
        <v>157</v>
      </c>
      <c r="I25" s="84" t="s">
        <v>95</v>
      </c>
      <c r="J25" s="158" t="s">
        <v>691</v>
      </c>
      <c r="K25" s="158" t="s">
        <v>1</v>
      </c>
      <c r="L25" s="158" t="s">
        <v>1</v>
      </c>
      <c r="M25" s="218" t="s">
        <v>658</v>
      </c>
      <c r="N25" s="84" t="s">
        <v>27</v>
      </c>
    </row>
    <row r="26" spans="1:14" s="23" customFormat="1" ht="73.5" customHeight="1" thickTop="1" thickBot="1" x14ac:dyDescent="0.3">
      <c r="A26" s="98">
        <v>34</v>
      </c>
      <c r="B26" s="84" t="s">
        <v>28</v>
      </c>
      <c r="C26" s="84" t="s">
        <v>61</v>
      </c>
      <c r="D26" s="84" t="s">
        <v>557</v>
      </c>
      <c r="E26" s="84" t="s">
        <v>429</v>
      </c>
      <c r="F26" s="87">
        <v>100000</v>
      </c>
      <c r="G26" s="84" t="s">
        <v>149</v>
      </c>
      <c r="H26" s="84" t="s">
        <v>157</v>
      </c>
      <c r="I26" s="84" t="s">
        <v>77</v>
      </c>
      <c r="J26" s="158" t="s">
        <v>692</v>
      </c>
      <c r="K26" s="158" t="s">
        <v>759</v>
      </c>
      <c r="L26" s="158" t="s">
        <v>1408</v>
      </c>
      <c r="M26" s="218" t="s">
        <v>651</v>
      </c>
      <c r="N26" s="84" t="s">
        <v>27</v>
      </c>
    </row>
    <row r="27" spans="1:14" s="94" customFormat="1" ht="130.5" customHeight="1" thickTop="1" thickBot="1" x14ac:dyDescent="0.3">
      <c r="A27" s="104">
        <v>22</v>
      </c>
      <c r="B27" s="84" t="s">
        <v>28</v>
      </c>
      <c r="C27" s="84" t="s">
        <v>76</v>
      </c>
      <c r="D27" s="84" t="s">
        <v>559</v>
      </c>
      <c r="E27" s="84" t="s">
        <v>339</v>
      </c>
      <c r="F27" s="84">
        <v>700000</v>
      </c>
      <c r="G27" s="84" t="s">
        <v>149</v>
      </c>
      <c r="H27" s="84" t="s">
        <v>157</v>
      </c>
      <c r="I27" s="84" t="s">
        <v>558</v>
      </c>
      <c r="J27" s="158" t="s">
        <v>693</v>
      </c>
      <c r="K27" s="157" t="s">
        <v>733</v>
      </c>
      <c r="L27" s="158" t="s">
        <v>639</v>
      </c>
      <c r="M27" s="218">
        <v>178100</v>
      </c>
      <c r="N27" s="84" t="s">
        <v>179</v>
      </c>
    </row>
    <row r="28" spans="1:14" s="94" customFormat="1" ht="125.25" customHeight="1" thickTop="1" thickBot="1" x14ac:dyDescent="0.3">
      <c r="A28" s="98">
        <v>22</v>
      </c>
      <c r="B28" s="84" t="s">
        <v>28</v>
      </c>
      <c r="C28" s="84" t="s">
        <v>76</v>
      </c>
      <c r="D28" s="84" t="s">
        <v>560</v>
      </c>
      <c r="E28" s="84" t="s">
        <v>297</v>
      </c>
      <c r="F28" s="84">
        <v>600000</v>
      </c>
      <c r="G28" s="84" t="s">
        <v>493</v>
      </c>
      <c r="H28" s="84" t="s">
        <v>157</v>
      </c>
      <c r="I28" s="84" t="s">
        <v>558</v>
      </c>
      <c r="J28" s="158" t="s">
        <v>693</v>
      </c>
      <c r="K28" s="157" t="s">
        <v>733</v>
      </c>
      <c r="L28" s="158" t="s">
        <v>639</v>
      </c>
      <c r="M28" s="218">
        <v>0</v>
      </c>
      <c r="N28" s="84" t="s">
        <v>179</v>
      </c>
    </row>
    <row r="29" spans="1:14" s="95" customFormat="1" ht="117.75" customHeight="1" thickTop="1" thickBot="1" x14ac:dyDescent="0.25">
      <c r="A29" s="98">
        <v>22</v>
      </c>
      <c r="B29" s="84" t="s">
        <v>28</v>
      </c>
      <c r="C29" s="84" t="s">
        <v>305</v>
      </c>
      <c r="D29" s="84" t="s">
        <v>562</v>
      </c>
      <c r="E29" s="84" t="s">
        <v>340</v>
      </c>
      <c r="F29" s="84">
        <v>60000</v>
      </c>
      <c r="G29" s="84" t="s">
        <v>149</v>
      </c>
      <c r="H29" s="84" t="s">
        <v>157</v>
      </c>
      <c r="I29" s="84" t="s">
        <v>561</v>
      </c>
      <c r="J29" s="158" t="s">
        <v>693</v>
      </c>
      <c r="K29" s="157" t="s">
        <v>733</v>
      </c>
      <c r="L29" s="158" t="s">
        <v>639</v>
      </c>
      <c r="M29" s="218">
        <v>0</v>
      </c>
      <c r="N29" s="84" t="s">
        <v>179</v>
      </c>
    </row>
    <row r="30" spans="1:14" s="112" customFormat="1" ht="72.75" customHeight="1" thickTop="1" thickBot="1" x14ac:dyDescent="0.25">
      <c r="A30" s="98">
        <v>22</v>
      </c>
      <c r="B30" s="84" t="s">
        <v>28</v>
      </c>
      <c r="C30" s="84" t="s">
        <v>305</v>
      </c>
      <c r="D30" s="84" t="s">
        <v>306</v>
      </c>
      <c r="E30" s="84" t="s">
        <v>307</v>
      </c>
      <c r="F30" s="84">
        <v>500000</v>
      </c>
      <c r="G30" s="84" t="s">
        <v>149</v>
      </c>
      <c r="H30" s="84" t="s">
        <v>148</v>
      </c>
      <c r="I30" s="84" t="s">
        <v>563</v>
      </c>
      <c r="J30" s="158" t="s">
        <v>798</v>
      </c>
      <c r="K30" s="158" t="s">
        <v>799</v>
      </c>
      <c r="L30" s="158" t="s">
        <v>800</v>
      </c>
      <c r="M30" s="218">
        <v>0</v>
      </c>
      <c r="N30" s="84" t="s">
        <v>14</v>
      </c>
    </row>
    <row r="31" spans="1:14" s="95" customFormat="1" ht="80.25" customHeight="1" thickTop="1" thickBot="1" x14ac:dyDescent="0.25">
      <c r="A31" s="98">
        <v>22</v>
      </c>
      <c r="B31" s="84" t="s">
        <v>28</v>
      </c>
      <c r="C31" s="84" t="s">
        <v>305</v>
      </c>
      <c r="D31" s="84" t="s">
        <v>308</v>
      </c>
      <c r="E31" s="84" t="s">
        <v>309</v>
      </c>
      <c r="F31" s="84">
        <v>400000</v>
      </c>
      <c r="G31" s="84" t="s">
        <v>149</v>
      </c>
      <c r="H31" s="84" t="s">
        <v>148</v>
      </c>
      <c r="I31" s="84" t="s">
        <v>564</v>
      </c>
      <c r="J31" s="158" t="s">
        <v>694</v>
      </c>
      <c r="K31" s="157" t="s">
        <v>733</v>
      </c>
      <c r="L31" s="158" t="s">
        <v>639</v>
      </c>
      <c r="M31" s="218">
        <v>0</v>
      </c>
      <c r="N31" s="84" t="s">
        <v>179</v>
      </c>
    </row>
    <row r="32" spans="1:14" s="95" customFormat="1" ht="108.75" customHeight="1" thickTop="1" thickBot="1" x14ac:dyDescent="0.25">
      <c r="A32" s="98">
        <v>22</v>
      </c>
      <c r="B32" s="84" t="s">
        <v>28</v>
      </c>
      <c r="C32" s="84" t="s">
        <v>305</v>
      </c>
      <c r="D32" s="84" t="s">
        <v>310</v>
      </c>
      <c r="E32" s="84" t="s">
        <v>311</v>
      </c>
      <c r="F32" s="84">
        <v>100000</v>
      </c>
      <c r="G32" s="84" t="s">
        <v>151</v>
      </c>
      <c r="H32" s="84" t="s">
        <v>157</v>
      </c>
      <c r="I32" s="84" t="s">
        <v>565</v>
      </c>
      <c r="J32" s="158" t="s">
        <v>695</v>
      </c>
      <c r="K32" s="157" t="s">
        <v>733</v>
      </c>
      <c r="L32" s="158" t="s">
        <v>639</v>
      </c>
      <c r="M32" s="218">
        <v>0</v>
      </c>
      <c r="N32" s="84" t="s">
        <v>179</v>
      </c>
    </row>
    <row r="33" spans="1:14" ht="13.5" thickTop="1" x14ac:dyDescent="0.2">
      <c r="A33" s="111"/>
      <c r="B33" s="112"/>
      <c r="C33" s="112"/>
      <c r="D33" s="112"/>
      <c r="E33" s="112"/>
      <c r="F33" s="111"/>
      <c r="G33" s="112"/>
      <c r="H33" s="112"/>
      <c r="I33" s="112"/>
      <c r="J33" s="112"/>
      <c r="K33" s="112"/>
      <c r="L33" s="112"/>
      <c r="M33" s="223"/>
      <c r="N33" s="112"/>
    </row>
  </sheetData>
  <mergeCells count="12">
    <mergeCell ref="I2:I3"/>
    <mergeCell ref="N2:N3"/>
    <mergeCell ref="A1:N1"/>
    <mergeCell ref="A2:A3"/>
    <mergeCell ref="B2:B3"/>
    <mergeCell ref="C2:C3"/>
    <mergeCell ref="D2:D3"/>
    <mergeCell ref="E2:E3"/>
    <mergeCell ref="F2:F3"/>
    <mergeCell ref="G2:G3"/>
    <mergeCell ref="H2:H3"/>
    <mergeCell ref="J2:J3"/>
  </mergeCells>
  <pageMargins left="0.70866141732283505" right="0.70866141732283505" top="0.74803149606299202" bottom="0.74803149606299202" header="0.31496062992126" footer="0.31496062992126"/>
  <pageSetup paperSize="9" scale="70" fitToHeight="0" orientation="landscape"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23</vt:i4>
      </vt:variant>
    </vt:vector>
  </HeadingPairs>
  <TitlesOfParts>
    <vt:vector size="53" baseType="lpstr">
      <vt:lpstr>COVER</vt:lpstr>
      <vt:lpstr>Table of Content</vt:lpstr>
      <vt:lpstr>Introduction</vt:lpstr>
      <vt:lpstr>Other Legislations</vt:lpstr>
      <vt:lpstr>Strategy</vt:lpstr>
      <vt:lpstr>MTOD KPI's</vt:lpstr>
      <vt:lpstr>MTOD PROJECTS</vt:lpstr>
      <vt:lpstr>BSD PROJECTS</vt:lpstr>
      <vt:lpstr>LED PROJECTS</vt:lpstr>
      <vt:lpstr>MFMV KPI</vt:lpstr>
      <vt:lpstr>MFMV PROJECTS</vt:lpstr>
      <vt:lpstr>GGPP PROJECTS</vt:lpstr>
      <vt:lpstr>GGPP KPI's</vt:lpstr>
      <vt:lpstr>ROLL OVER PROJECTS</vt:lpstr>
      <vt:lpstr>SDBIP summary</vt:lpstr>
      <vt:lpstr>Finance Report</vt:lpstr>
      <vt:lpstr>Capital Projects</vt:lpstr>
      <vt:lpstr>Expenditure</vt:lpstr>
      <vt:lpstr>Icome</vt:lpstr>
      <vt:lpstr>Salaries</vt:lpstr>
      <vt:lpstr>Overtime</vt:lpstr>
      <vt:lpstr>Cash Flow</vt:lpstr>
      <vt:lpstr>Bank Balances</vt:lpstr>
      <vt:lpstr>Debtors</vt:lpstr>
      <vt:lpstr>FBE</vt:lpstr>
      <vt:lpstr>Grants</vt:lpstr>
      <vt:lpstr>Audit report</vt:lpstr>
      <vt:lpstr>Conclusion</vt:lpstr>
      <vt:lpstr>Approval</vt:lpstr>
      <vt:lpstr>Sheet1</vt:lpstr>
      <vt:lpstr>COVER!OLE_LINK1</vt:lpstr>
      <vt:lpstr>'BSD PROJECTS'!Print_Area</vt:lpstr>
      <vt:lpstr>Conclusion!Print_Area</vt:lpstr>
      <vt:lpstr>COVER!Print_Area</vt:lpstr>
      <vt:lpstr>Expenditure!Print_Area</vt:lpstr>
      <vt:lpstr>FBE!Print_Area</vt:lpstr>
      <vt:lpstr>'Finance Report'!Print_Area</vt:lpstr>
      <vt:lpstr>'GGPP PROJECTS'!Print_Area</vt:lpstr>
      <vt:lpstr>Introduction!Print_Area</vt:lpstr>
      <vt:lpstr>'LED PROJECTS'!Print_Area</vt:lpstr>
      <vt:lpstr>'MFMV KPI'!Print_Area</vt:lpstr>
      <vt:lpstr>'MFMV PROJECTS'!Print_Area</vt:lpstr>
      <vt:lpstr>'MTOD KPI''s'!Print_Area</vt:lpstr>
      <vt:lpstr>'MTOD PROJECTS'!Print_Area</vt:lpstr>
      <vt:lpstr>Overtime!Print_Area</vt:lpstr>
      <vt:lpstr>'ROLL OVER PROJECTS'!Print_Area</vt:lpstr>
      <vt:lpstr>'SDBIP summary'!Print_Area</vt:lpstr>
      <vt:lpstr>Strategy!Print_Area</vt:lpstr>
      <vt:lpstr>'Table of Content'!Print_Area</vt:lpstr>
      <vt:lpstr>'BSD PROJECTS'!Print_Titles</vt:lpstr>
      <vt:lpstr>'GGPP KPI''s'!Print_Titles</vt:lpstr>
      <vt:lpstr>'GGPP PROJECTS'!Print_Titles</vt:lpstr>
      <vt:lpstr>'MTOD KPI''s'!Print_Titles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Louisa</dc:creator>
  <cp:lastModifiedBy>Bertha  Letsoalo</cp:lastModifiedBy>
  <cp:lastPrinted>2015-01-28T22:52:04Z</cp:lastPrinted>
  <dcterms:created xsi:type="dcterms:W3CDTF">2010-04-26T18:03:28Z</dcterms:created>
  <dcterms:modified xsi:type="dcterms:W3CDTF">2015-02-03T13:48:40Z</dcterms:modified>
</cp:coreProperties>
</file>